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Zz0ttqd0RVXD/lEmdSVc+fr8diHPrdE9VfyAYL6my2sDYUU1pAlaJZlT6bvsBDLL0QDOURsGoWvzMw67RXRHg==" workbookSaltValue="bweeV/BBMdQgBQicOAhK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M13" i="2"/>
  <c r="N13" i="2"/>
  <c r="T13" i="12"/>
  <c r="V11" i="11"/>
  <c r="BM12" i="11"/>
  <c r="BI15" i="11"/>
  <c r="BJ12" i="11"/>
  <c r="BG15" i="11"/>
  <c r="BK17" i="11"/>
  <c r="AP17" i="20"/>
  <c r="BU11" i="17"/>
  <c r="BU10" i="17"/>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6" i="2"/>
  <c r="X10" i="21"/>
  <c r="U9" i="17"/>
  <c r="U19" i="17" s="1"/>
  <c r="AP13" i="16"/>
  <c r="T18" i="17"/>
  <c r="BG15" i="13"/>
  <c r="BE16" i="13"/>
  <c r="BE15" i="13"/>
  <c r="AX20" i="20"/>
  <c r="B18" i="7" l="1"/>
  <c r="S19" i="8"/>
  <c r="AB13" i="21"/>
  <c r="BG10" i="8"/>
  <c r="H10" i="2"/>
  <c r="M18" i="2"/>
  <c r="N18" i="2"/>
  <c r="K18" i="2"/>
  <c r="L15" i="2"/>
  <c r="T9" i="11"/>
  <c r="C12" i="14"/>
  <c r="K12" i="14" s="1"/>
  <c r="B9" i="6"/>
  <c r="V9" i="16"/>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V12" i="16"/>
  <c r="BV17" i="16"/>
  <c r="AZ15" i="11"/>
  <c r="AZ18" i="11" s="1"/>
  <c r="AZ9" i="11"/>
  <c r="AZ13" i="11" s="1"/>
  <c r="R17" i="20"/>
  <c r="R18" i="20" s="1"/>
  <c r="AP15" i="20"/>
  <c r="BJ15" i="11"/>
  <c r="BH9" i="11"/>
  <c r="AP10" i="21"/>
  <c r="BF10" i="11"/>
  <c r="BM16" i="11"/>
  <c r="BH11" i="16"/>
  <c r="AL16" i="11"/>
  <c r="C16" i="6"/>
  <c r="BE9" i="13"/>
  <c r="AZ19" i="11"/>
  <c r="BW16" i="20"/>
  <c r="BV16" i="16"/>
  <c r="BW17" i="20"/>
  <c r="BW9" i="20"/>
  <c r="BU15" i="17"/>
  <c r="T15" i="16"/>
  <c r="T17" i="16"/>
  <c r="BM15" i="11"/>
  <c r="BH17" i="11"/>
  <c r="BL11" i="11"/>
  <c r="BG9" i="11"/>
  <c r="BI17" i="11"/>
  <c r="R10" i="21"/>
  <c r="R13" i="21" s="1"/>
  <c r="R19" i="21" s="1"/>
  <c r="BJ11" i="11"/>
  <c r="V9" i="11"/>
  <c r="Q10" i="21"/>
  <c r="BI10" i="11"/>
  <c r="AZ17" i="11"/>
  <c r="BK11" i="11"/>
  <c r="X11" i="17"/>
  <c r="BK9" i="11"/>
  <c r="BK12" i="11"/>
  <c r="P17" i="17"/>
  <c r="BG10" i="11"/>
  <c r="BL9" i="11"/>
  <c r="BF11"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AN18" i="1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<sst xmlns="http://schemas.openxmlformats.org/spreadsheetml/2006/main" count="2102" uniqueCount="918">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</sst>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ny+cVGs1HbBbt9dc+DbI0Jf7ytgrkBpxBt++4pNe7i3aMFUr9A70iVDOxWm+hgWsMH6IGIvGzknCUuBF9t66A==" saltValue="V9P/jlbrwtE4geKn+7Vv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3</v>
      </c>
      <c r="F10" s="226">
        <f>IF(ISNUMBER(Datos!K10),Datos!K10," - ")</f>
        <v>7</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-0.19047619047619047</v>
      </c>
      <c r="L10" s="1025">
        <f>IF(ISNUMBER(NºAsuntos!I10/NºAsuntos!G10),(NºAsuntos!I10/NºAsuntos!G10)*11," - ")</f>
        <v>26.714285714285712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43.016423357664237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3</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657</v>
      </c>
      <c r="D16" s="225">
        <f>IF(ISNUMBER(IF(D_I="SI",Datos!I16,Datos!I16+Datos!AC16)),IF(D_I="SI",Datos!I16,Datos!I16+Datos!AC16)," - ")</f>
        <v>655</v>
      </c>
      <c r="E16" s="226">
        <f>IF(ISNUMBER(IF(D_I="SI",Datos!J16,Datos!J16+Datos!AD16)),IF(D_I="SI",Datos!J16,Datos!J16+Datos!AD16)," - ")</f>
        <v>708</v>
      </c>
      <c r="F16" s="226">
        <f>IF(ISNUMBER(IF(D_I="SI",Datos!K16,Datos!K16+Datos!AE16)),IF(D_I="SI",Datos!K16,Datos!K16+Datos!AE16)," - ")</f>
        <v>573</v>
      </c>
      <c r="G16" s="1034" t="str">
        <f>IF(Datos!E16&lt;&gt;"",Datos!E16,Datos!D16)</f>
        <v>04</v>
      </c>
      <c r="H16" s="227">
        <f>IF(ISNUMBER(IF(D_I="SI",Datos!L16,Datos!L16+Datos!AF16)),IF(D_I="SI",Datos!L16,Datos!L16+Datos!AF16)," - ")</f>
        <v>792</v>
      </c>
      <c r="I16" s="1044" t="str">
        <f>IF(ISNUMBER(Datos!AS16/Datos!BM16),Datos!AS16/Datos!BM16," - ")</f>
        <v xml:space="preserve"> - </v>
      </c>
      <c r="J16" s="1045">
        <f>IF(ISNUMBER(Datos!BY16/Datos!CN16),Datos!BY16/Datos!CN16," - ")</f>
        <v>0</v>
      </c>
      <c r="K16" s="230">
        <f t="shared" si="3"/>
        <v>0.20547945205479451</v>
      </c>
      <c r="L16" s="1025">
        <f>IF(ISNUMBER(NºAsuntos!I16/NºAsuntos!G16),(NºAsuntos!I16/NºAsuntos!G16)*11," - ")</f>
        <v>15.204188481675391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71</v>
      </c>
      <c r="F17" s="226">
        <f>IF(ISNUMBER(IF(D_I="SI",Datos!K17,Datos!K17+Datos!AE17)),IF(D_I="SI",Datos!K17,Datos!K17+Datos!AE17)," - ")</f>
        <v>57</v>
      </c>
      <c r="G17" s="1034" t="str">
        <f>IF(Datos!E17&lt;&gt;"",Datos!E17,Datos!D17)</f>
        <v>37</v>
      </c>
      <c r="H17" s="227">
        <f>IF(ISNUMBER(IF(D_I="SI",Datos!L17,Datos!L17+Datos!AF17)),IF(D_I="SI",Datos!L17,Datos!L17+Datos!AF17)," - ")</f>
        <v>43</v>
      </c>
      <c r="I17" s="1044" t="str">
        <f>IF(ISNUMBER(Datos!AS17/Datos!BM17),Datos!AS17/Datos!BM17," - ")</f>
        <v xml:space="preserve"> - </v>
      </c>
      <c r="J17" s="1045" t="str">
        <f>IF(ISNUMBER((Datos!BY17+Datos!BZ17)/Datos!CN17),(Datos!BY17+Datos!BZ17)/Datos!CN17," - ")</f>
        <v xml:space="preserve"> - </v>
      </c>
      <c r="K17" s="230">
        <f t="shared" si="3"/>
        <v>0.48275862068965519</v>
      </c>
      <c r="L17" s="1025">
        <f>IF(ISNUMBER(NºAsuntos!I17/NºAsuntos!G17),(NºAsuntos!I17/NºAsuntos!G17)*11," - ")</f>
        <v>8.2982456140350873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686</v>
      </c>
      <c r="D18" s="1049">
        <f>SUBTOTAL(9,D15:D17)</f>
        <v>684</v>
      </c>
      <c r="E18" s="1050">
        <f>SUBTOTAL(9,E15:E17)</f>
        <v>779</v>
      </c>
      <c r="F18" s="1050">
        <f>SUBTOTAL(9,F15:F17)</f>
        <v>630</v>
      </c>
      <c r="G18" s="1052" t="str">
        <f ca="1">INDIRECT(CONCATENATE("G",ROW()-1))</f>
        <v>37</v>
      </c>
      <c r="H18" s="1053">
        <f ca="1">SUMIF(G$14:G17,G18,H$14:H17)</f>
        <v>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707</v>
      </c>
      <c r="D19" s="1071">
        <f>SUBTOTAL(9,D9:D18)</f>
        <v>705</v>
      </c>
      <c r="E19" s="1072">
        <f>SUBTOTAL(9,E9:E18)</f>
        <v>782</v>
      </c>
      <c r="F19" s="1072">
        <f>SUBTOTAL(9,F9:F18)</f>
        <v>637</v>
      </c>
      <c r="G19" s="1073"/>
      <c r="H19" s="1074">
        <f ca="1">SUMIF(B9:B18,"TOTAL",H9:H18)</f>
        <v>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x1Sfh5msqL5dYqwa1SdeqtDjPyUekON7Glg1WvmBiiI39SKDpbxfI9wNZ3z9zZK1pbZlqEvYEj3kyZl2+58uQ==" saltValue="uytRxdID8q6+WqTK2ynVI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qcxGoyqechy4Tk16nf4TM0rtj4knThC3DeLveowZEk/WhkOv0Qb2L2rCrlP1X1/knUT6lw8euzcyNZAAJfEYA==" saltValue="hW1dxUftYq2u8H6JcUg5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3</v>
      </c>
      <c r="K10" s="181">
        <v>7</v>
      </c>
      <c r="L10" s="181">
        <v>17</v>
      </c>
      <c r="M10" s="181">
        <v>3</v>
      </c>
      <c r="N10" s="181">
        <v>2</v>
      </c>
      <c r="O10" s="181">
        <v>0</v>
      </c>
      <c r="P10" s="181">
        <v>0</v>
      </c>
      <c r="Q10" s="181">
        <v>0</v>
      </c>
      <c r="R10" s="181">
        <v>34</v>
      </c>
      <c r="S10" s="181">
        <v>26</v>
      </c>
      <c r="T10" s="181">
        <v>2</v>
      </c>
      <c r="U10" s="181">
        <v>0</v>
      </c>
      <c r="V10" s="181">
        <v>23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26</v>
      </c>
      <c r="AZ10" s="129">
        <f t="shared" si="0"/>
        <v>2</v>
      </c>
      <c r="BA10" s="129">
        <f t="shared" si="0"/>
        <v>0</v>
      </c>
      <c r="BB10" s="129">
        <f t="shared" si="0"/>
        <v>23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2061</v>
      </c>
      <c r="J12" s="183">
        <v>541</v>
      </c>
      <c r="K12" s="183">
        <v>509</v>
      </c>
      <c r="L12" s="183">
        <v>2093</v>
      </c>
      <c r="M12" s="183">
        <v>100</v>
      </c>
      <c r="N12" s="183">
        <v>298</v>
      </c>
      <c r="O12" s="181">
        <v>182</v>
      </c>
      <c r="P12" s="183">
        <v>101</v>
      </c>
      <c r="Q12" s="183">
        <v>40</v>
      </c>
      <c r="R12" s="183">
        <v>2837</v>
      </c>
      <c r="S12" s="183">
        <v>1787</v>
      </c>
      <c r="T12" s="183">
        <v>492</v>
      </c>
      <c r="U12" s="183">
        <v>365</v>
      </c>
      <c r="V12" s="183">
        <v>1817</v>
      </c>
      <c r="W12" s="183">
        <v>65</v>
      </c>
      <c r="X12" s="189">
        <v>216</v>
      </c>
      <c r="Y12" s="191">
        <v>37</v>
      </c>
      <c r="Z12" s="181">
        <v>52</v>
      </c>
      <c r="AA12" s="181">
        <v>39</v>
      </c>
      <c r="AB12" s="181">
        <v>50</v>
      </c>
      <c r="AC12" s="183">
        <v>0</v>
      </c>
      <c r="AD12" s="183">
        <v>0</v>
      </c>
      <c r="AE12" s="183">
        <v>0</v>
      </c>
      <c r="AF12" s="189">
        <v>0</v>
      </c>
      <c r="AG12" s="202">
        <v>18</v>
      </c>
      <c r="AH12" s="183">
        <v>34</v>
      </c>
      <c r="AI12" s="183">
        <v>33</v>
      </c>
      <c r="AJ12" s="203">
        <v>19</v>
      </c>
      <c r="AK12" s="182">
        <v>0</v>
      </c>
      <c r="AL12" s="183">
        <v>0</v>
      </c>
      <c r="AM12" s="183">
        <v>0</v>
      </c>
      <c r="AN12" s="189">
        <v>0</v>
      </c>
      <c r="AO12" s="259">
        <v>3</v>
      </c>
      <c r="AP12" s="155">
        <v>3</v>
      </c>
      <c r="AQ12" s="155">
        <v>3</v>
      </c>
      <c r="AR12" s="154">
        <v>3</v>
      </c>
      <c r="AS12" s="340" t="s">
        <v>802</v>
      </c>
      <c r="AT12" s="203"/>
      <c r="AU12" s="202"/>
      <c r="AV12" s="203"/>
      <c r="AW12" s="202"/>
      <c r="AX12" s="203"/>
      <c r="AY12" s="126">
        <f t="shared" si="1"/>
        <v>1805</v>
      </c>
      <c r="AZ12" s="127">
        <f t="shared" si="1"/>
        <v>526</v>
      </c>
      <c r="BA12" s="127">
        <f t="shared" si="1"/>
        <v>398</v>
      </c>
      <c r="BB12" s="127">
        <f t="shared" si="1"/>
        <v>1836</v>
      </c>
      <c r="BC12" s="125">
        <f>IF(ISNUMBER(X12),X12," - ")</f>
        <v>216</v>
      </c>
      <c r="BD12" s="126">
        <f t="shared" si="2"/>
        <v>0.75665399239543729</v>
      </c>
      <c r="BE12" s="127">
        <f t="shared" si="3"/>
        <v>4.6130653266331656</v>
      </c>
      <c r="BF12" s="127">
        <f t="shared" si="4"/>
        <v>0.542713567839196</v>
      </c>
      <c r="BG12" s="196">
        <f t="shared" si="5"/>
        <v>5.8567839195979898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2082</v>
      </c>
      <c r="J13" s="184">
        <f t="shared" si="6"/>
        <v>544</v>
      </c>
      <c r="K13" s="184">
        <f t="shared" si="6"/>
        <v>516</v>
      </c>
      <c r="L13" s="184">
        <f t="shared" si="6"/>
        <v>2110</v>
      </c>
      <c r="M13" s="184">
        <f t="shared" si="6"/>
        <v>103</v>
      </c>
      <c r="N13" s="184">
        <f t="shared" si="6"/>
        <v>300</v>
      </c>
      <c r="O13" s="184">
        <f t="shared" si="6"/>
        <v>182</v>
      </c>
      <c r="P13" s="184">
        <f t="shared" si="6"/>
        <v>101</v>
      </c>
      <c r="Q13" s="184">
        <f t="shared" si="6"/>
        <v>40</v>
      </c>
      <c r="R13" s="184">
        <f t="shared" si="6"/>
        <v>2871</v>
      </c>
      <c r="S13" s="184">
        <f t="shared" si="6"/>
        <v>1813</v>
      </c>
      <c r="T13" s="184">
        <f t="shared" si="6"/>
        <v>494</v>
      </c>
      <c r="U13" s="184">
        <f t="shared" si="6"/>
        <v>365</v>
      </c>
      <c r="V13" s="184">
        <f t="shared" si="6"/>
        <v>1840</v>
      </c>
      <c r="W13" s="184">
        <f t="shared" si="6"/>
        <v>65</v>
      </c>
      <c r="X13" s="184">
        <f t="shared" si="6"/>
        <v>216</v>
      </c>
      <c r="Y13" s="184">
        <f t="shared" si="6"/>
        <v>37</v>
      </c>
      <c r="Z13" s="184">
        <f t="shared" si="6"/>
        <v>52</v>
      </c>
      <c r="AA13" s="184">
        <f t="shared" si="6"/>
        <v>39</v>
      </c>
      <c r="AB13" s="184">
        <f t="shared" si="6"/>
        <v>50</v>
      </c>
      <c r="AC13" s="184">
        <f t="shared" si="6"/>
        <v>0</v>
      </c>
      <c r="AD13" s="184">
        <f t="shared" si="6"/>
        <v>0</v>
      </c>
      <c r="AE13" s="184">
        <f t="shared" si="6"/>
        <v>0</v>
      </c>
      <c r="AF13" s="184">
        <f>SUBTOTAL(9,AF9:AF12)</f>
        <v>0</v>
      </c>
      <c r="AG13" s="184">
        <f t="shared" ref="AG13:AT13" si="7">SUBTOTAL(9,AG8:AG12)</f>
        <v>18</v>
      </c>
      <c r="AH13" s="184">
        <f t="shared" si="7"/>
        <v>34</v>
      </c>
      <c r="AI13" s="184">
        <f t="shared" si="7"/>
        <v>33</v>
      </c>
      <c r="AJ13" s="184">
        <f t="shared" si="7"/>
        <v>19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1831</v>
      </c>
      <c r="AZ13" s="184">
        <f>SUBTOTAL(9,AZ8:AZ12)</f>
        <v>528</v>
      </c>
      <c r="BA13" s="184">
        <f>SUBTOTAL(9,BA8:BA12)</f>
        <v>398</v>
      </c>
      <c r="BB13" s="184">
        <f>SUBTOTAL(9,BB8:BB12)</f>
        <v>1859</v>
      </c>
      <c r="BC13" s="184">
        <f>SUBTOTAL(9,BC8:BC12)</f>
        <v>216</v>
      </c>
      <c r="BD13" s="205">
        <f>IF(ISNUMBER(BA13/AZ13),BA13/AZ13," - ")</f>
        <v>0.75378787878787878</v>
      </c>
      <c r="BE13" s="206">
        <f>IF(ISNUMBER(BB13/BA13),BB13/BA13, " - ")</f>
        <v>4.6708542713567835</v>
      </c>
      <c r="BF13" s="206">
        <f>IF(ISNUMBER(BC13/BA13),BC13/BA13, " - ")</f>
        <v>0.542713567839196</v>
      </c>
      <c r="BG13" s="207">
        <f>IF(ISNUMBER((AY13+AZ13)/BA13),(AY13+AZ13)/BA13," - ")</f>
        <v>5.9271356783919602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655</v>
      </c>
      <c r="J16" s="183">
        <v>708</v>
      </c>
      <c r="K16" s="183">
        <v>573</v>
      </c>
      <c r="L16" s="183">
        <v>792</v>
      </c>
      <c r="M16" s="183">
        <v>43</v>
      </c>
      <c r="N16" s="183">
        <v>424</v>
      </c>
      <c r="O16" s="181">
        <v>0</v>
      </c>
      <c r="P16" s="183">
        <v>29</v>
      </c>
      <c r="Q16" s="183">
        <v>36</v>
      </c>
      <c r="R16" s="183">
        <v>91</v>
      </c>
      <c r="S16" s="183">
        <v>923</v>
      </c>
      <c r="T16" s="183">
        <v>556</v>
      </c>
      <c r="U16" s="183">
        <v>649</v>
      </c>
      <c r="V16" s="183">
        <v>830</v>
      </c>
      <c r="W16" s="183">
        <v>39</v>
      </c>
      <c r="X16" s="189">
        <v>376</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1</v>
      </c>
      <c r="AN16" s="189">
        <v>0</v>
      </c>
      <c r="AO16" s="259">
        <v>3</v>
      </c>
      <c r="AP16" s="155">
        <v>3</v>
      </c>
      <c r="AQ16" s="155">
        <v>3</v>
      </c>
      <c r="AR16" s="155">
        <v>3</v>
      </c>
      <c r="AS16" s="340" t="s">
        <v>487</v>
      </c>
      <c r="AT16" s="203"/>
      <c r="AU16" s="202"/>
      <c r="AV16" s="203"/>
      <c r="AW16" s="202"/>
      <c r="AX16" s="203"/>
      <c r="AY16" s="126">
        <f t="shared" si="9"/>
        <v>923</v>
      </c>
      <c r="AZ16" s="127">
        <f t="shared" si="9"/>
        <v>556</v>
      </c>
      <c r="BA16" s="127">
        <f t="shared" si="9"/>
        <v>649</v>
      </c>
      <c r="BB16" s="127">
        <f t="shared" si="9"/>
        <v>830</v>
      </c>
      <c r="BC16" s="125">
        <f>IF(ISNUMBER(W16),W16," - ")</f>
        <v>39</v>
      </c>
      <c r="BD16" s="126">
        <f t="shared" ref="BD16" si="11">IF(ISNUMBER(BA16/AZ16),BA16/AZ16," - ")</f>
        <v>1.1672661870503598</v>
      </c>
      <c r="BE16" s="127">
        <f t="shared" ref="BE16" si="12">IF(ISNUMBER(BB16/BA16),BB16/BA16, " - ")</f>
        <v>1.2788906009244991</v>
      </c>
      <c r="BF16" s="127">
        <f t="shared" ref="BF16" si="13">IF(ISNUMBER(BC16/BA16),BC16/BA16, " - ")</f>
        <v>6.0092449922958396E-2</v>
      </c>
      <c r="BG16" s="196">
        <f t="shared" si="10"/>
        <v>2.2788906009244991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71</v>
      </c>
      <c r="K17" s="183">
        <v>57</v>
      </c>
      <c r="L17" s="183">
        <v>43</v>
      </c>
      <c r="M17" s="183">
        <v>5</v>
      </c>
      <c r="N17" s="183">
        <v>36</v>
      </c>
      <c r="O17" s="183">
        <v>0</v>
      </c>
      <c r="P17" s="183">
        <v>0</v>
      </c>
      <c r="Q17" s="183">
        <v>0</v>
      </c>
      <c r="R17" s="183">
        <v>0</v>
      </c>
      <c r="S17" s="183">
        <v>34</v>
      </c>
      <c r="T17" s="183">
        <v>69</v>
      </c>
      <c r="U17" s="183">
        <v>66</v>
      </c>
      <c r="V17" s="183">
        <v>37</v>
      </c>
      <c r="W17" s="183">
        <v>5</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34</v>
      </c>
      <c r="AZ17" s="129">
        <f t="shared" si="14"/>
        <v>69</v>
      </c>
      <c r="BA17" s="129">
        <f t="shared" si="14"/>
        <v>66</v>
      </c>
      <c r="BB17" s="129">
        <f t="shared" si="14"/>
        <v>37</v>
      </c>
      <c r="BC17" s="125">
        <f>IF(ISNUMBER(W17),W17," - ")</f>
        <v>5</v>
      </c>
      <c r="BD17" s="126">
        <f>IF(ISNUMBER(BA17/AZ17),BA17/AZ17," - ")</f>
        <v>0.95652173913043481</v>
      </c>
      <c r="BE17" s="127">
        <f>IF(ISNUMBER(BB17/BA17),BB17/BA17, " - ")</f>
        <v>0.56060606060606055</v>
      </c>
      <c r="BF17" s="127">
        <f>IF(ISNUMBER(BC17/BA17),BC17/BA17, " - ")</f>
        <v>7.575757575757576E-2</v>
      </c>
      <c r="BG17" s="196">
        <f>IF(ISNUMBER((AY17+AZ17)/BA17),(AY17+AZ17)/BA17," - ")</f>
        <v>1.5606060606060606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684</v>
      </c>
      <c r="J18" s="184">
        <f t="shared" si="15"/>
        <v>779</v>
      </c>
      <c r="K18" s="184">
        <f t="shared" si="15"/>
        <v>630</v>
      </c>
      <c r="L18" s="184">
        <f t="shared" si="15"/>
        <v>835</v>
      </c>
      <c r="M18" s="184">
        <f t="shared" si="15"/>
        <v>48</v>
      </c>
      <c r="N18" s="184">
        <f t="shared" si="15"/>
        <v>460</v>
      </c>
      <c r="O18" s="184">
        <f t="shared" si="15"/>
        <v>0</v>
      </c>
      <c r="P18" s="184">
        <f t="shared" si="15"/>
        <v>29</v>
      </c>
      <c r="Q18" s="184">
        <f t="shared" si="15"/>
        <v>36</v>
      </c>
      <c r="R18" s="184">
        <f t="shared" si="15"/>
        <v>91</v>
      </c>
      <c r="S18" s="184">
        <f t="shared" si="15"/>
        <v>957</v>
      </c>
      <c r="T18" s="184">
        <f t="shared" si="15"/>
        <v>625</v>
      </c>
      <c r="U18" s="184">
        <f t="shared" si="15"/>
        <v>715</v>
      </c>
      <c r="V18" s="184">
        <f t="shared" si="15"/>
        <v>867</v>
      </c>
      <c r="W18" s="184">
        <f t="shared" si="15"/>
        <v>44</v>
      </c>
      <c r="X18" s="184">
        <f t="shared" si="15"/>
        <v>418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957</v>
      </c>
      <c r="AZ18" s="184">
        <f>SUBTOTAL(9,AZ14:AZ17)</f>
        <v>625</v>
      </c>
      <c r="BA18" s="184">
        <f>SUBTOTAL(9,BA14:BA17)</f>
        <v>715</v>
      </c>
      <c r="BB18" s="184">
        <f>SUBTOTAL(9,BB14:BB17)</f>
        <v>867</v>
      </c>
      <c r="BC18" s="184">
        <f>SUBTOTAL(9,BC14:BC17)</f>
        <v>44</v>
      </c>
      <c r="BD18" s="205">
        <f>IF(ISNUMBER(BA18/AZ18),BA18/AZ18," - ")</f>
        <v>1.1439999999999999</v>
      </c>
      <c r="BE18" s="206">
        <f>IF(ISNUMBER(BB18/BA18),BB18/BA18, " - ")</f>
        <v>1.2125874125874125</v>
      </c>
      <c r="BF18" s="206">
        <f>IF(ISNUMBER(BC18/BA18),BC18/BA18, " - ")</f>
        <v>6.1538461538461542E-2</v>
      </c>
      <c r="BG18" s="207">
        <f>IF(ISNUMBER((AY18+AZ18)/BA18),(AY18+AZ18)/BA18," - ")</f>
        <v>2.2125874125874128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2766</v>
      </c>
      <c r="J19" s="134">
        <f t="shared" si="18"/>
        <v>1323</v>
      </c>
      <c r="K19" s="134">
        <f t="shared" si="18"/>
        <v>1146</v>
      </c>
      <c r="L19" s="134">
        <f t="shared" si="18"/>
        <v>2945</v>
      </c>
      <c r="M19" s="134">
        <f t="shared" si="18"/>
        <v>151</v>
      </c>
      <c r="N19" s="134">
        <f t="shared" si="18"/>
        <v>760</v>
      </c>
      <c r="O19" s="134">
        <f t="shared" si="18"/>
        <v>182</v>
      </c>
      <c r="P19" s="134">
        <f t="shared" si="18"/>
        <v>130</v>
      </c>
      <c r="Q19" s="134">
        <f t="shared" si="18"/>
        <v>76</v>
      </c>
      <c r="R19" s="134">
        <f t="shared" si="18"/>
        <v>2962</v>
      </c>
      <c r="S19" s="134">
        <f t="shared" si="18"/>
        <v>2770</v>
      </c>
      <c r="T19" s="134">
        <f t="shared" si="18"/>
        <v>1119</v>
      </c>
      <c r="U19" s="134">
        <f t="shared" si="18"/>
        <v>1080</v>
      </c>
      <c r="V19" s="134">
        <f t="shared" si="18"/>
        <v>2707</v>
      </c>
      <c r="W19" s="134">
        <f t="shared" si="18"/>
        <v>109</v>
      </c>
      <c r="X19" s="134">
        <f t="shared" si="18"/>
        <v>634</v>
      </c>
      <c r="Y19" s="134">
        <f t="shared" si="18"/>
        <v>37</v>
      </c>
      <c r="Z19" s="134">
        <f t="shared" si="18"/>
        <v>52</v>
      </c>
      <c r="AA19" s="134">
        <f t="shared" si="18"/>
        <v>39</v>
      </c>
      <c r="AB19" s="134">
        <f t="shared" si="18"/>
        <v>50</v>
      </c>
      <c r="AC19" s="134">
        <f t="shared" si="18"/>
        <v>0</v>
      </c>
      <c r="AD19" s="134">
        <f t="shared" si="18"/>
        <v>0</v>
      </c>
      <c r="AE19" s="134">
        <f t="shared" si="18"/>
        <v>0</v>
      </c>
      <c r="AF19" s="134">
        <f t="shared" si="18"/>
        <v>0</v>
      </c>
      <c r="AG19" s="134">
        <f t="shared" si="18"/>
        <v>18</v>
      </c>
      <c r="AH19" s="134">
        <f t="shared" si="18"/>
        <v>34</v>
      </c>
      <c r="AI19" s="134">
        <f t="shared" si="18"/>
        <v>33</v>
      </c>
      <c r="AJ19" s="134">
        <f t="shared" si="18"/>
        <v>19</v>
      </c>
      <c r="AK19" s="134">
        <f t="shared" si="18"/>
        <v>1</v>
      </c>
      <c r="AL19" s="134">
        <f t="shared" si="18"/>
        <v>0</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2788</v>
      </c>
      <c r="AZ19" s="134">
        <f>SUBTOTAL(9,AZ9:AZ18)</f>
        <v>1153</v>
      </c>
      <c r="BA19" s="134">
        <f>SUBTOTAL(9,BA9:BA18)</f>
        <v>1113</v>
      </c>
      <c r="BB19" s="134">
        <f>SUBTOTAL(9,BB9:BB18)</f>
        <v>2726</v>
      </c>
      <c r="BC19" s="135">
        <f>SUBTOTAL(9,BC9:BC18)</f>
        <v>260</v>
      </c>
      <c r="BD19" s="213">
        <f>IF(ISNUMBER(BA19/AZ19),BA19/AZ19," - ")</f>
        <v>0.96530789245446658</v>
      </c>
      <c r="BE19" s="210">
        <f>IF(ISNUMBER(BB19/BA19),BB19/BA19, " - ")</f>
        <v>2.4492362982929019</v>
      </c>
      <c r="BF19" s="210">
        <f>IF(ISNUMBER(BC19/BA19),BC19/BA19, " - ")</f>
        <v>0.23360287511230907</v>
      </c>
      <c r="BG19" s="135">
        <f>IF(ISNUMBER((AY19+AZ19)/BA19),(AY19+AZ19)/BA19," - ")</f>
        <v>3.540880503144654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LOJLUGPCtsDF5CWXjK1A+/fRdsNGBLaGsH1Pc+Na4HUM97Ea2S//eTbf8gIzgqPkxD6xxg9Ch1TE6uUB1Uyg==" saltValue="UB0zRN6aizvC1BI+rzZP1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RzlZsTIZcCXNsR5ukfJoKnPlVtBpuFeQ8gvPmIVImavY40b7B4qFg66vkEgHtKnLkfJI257osD6CveKFrkrw==" saltValue="uif/Qs8h66TeuUysitz+v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17</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2.3333333333333335</v>
      </c>
      <c r="BH10" s="260">
        <f>IF(ISNUMBER(((Datos!L10/Datos!K10)*11)/factor_trimestre),((Datos!L10/Datos!K10)*11)/factor_trimestre," - ")</f>
        <v>4.8571428571428568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52</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50</v>
      </c>
      <c r="AI12" s="334" t="str">
        <f>IF(ISNUMBER(Datos!CD12),Datos!CD12,"-")</f>
        <v>-</v>
      </c>
      <c r="AJ12" s="334" t="str">
        <f>IF(ISNUMBER(Datos!EN12),Datos!EN12," - ")</f>
        <v xml:space="preserve"> - </v>
      </c>
      <c r="AK12" s="334"/>
      <c r="AL12" s="479"/>
      <c r="AM12" s="335">
        <f>IF(ISNUMBER(Datos!R12),Datos!R12," - ")</f>
        <v>2837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100</v>
      </c>
      <c r="BD12" s="229">
        <f>IF(ISNUMBER(Datos!N12),Datos!N12," - ")</f>
        <v>298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0.92411467116357504</v>
      </c>
      <c r="BH12" s="260">
        <f>IF(ISNUMBER(((IF(J_V="SI",Datos!L12/Datos!K12,(Datos!L12+Datos!AB12)/(Datos!K12+Datos!AA12)))*11)/factor_trimestre),((IF(J_V="SI",Datos!L12/Datos!K12,(Datos!L12+Datos!AB12)/(Datos!K12+Datos!AA12)))*11)/factor_trimestre," - ")</f>
        <v>7.8211678832116798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2.1974063400576369E-2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3</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52</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40</v>
      </c>
      <c r="AD13" s="899">
        <f t="shared" si="1"/>
        <v>0</v>
      </c>
      <c r="AE13" s="899">
        <f t="shared" si="1"/>
        <v>0</v>
      </c>
      <c r="AF13" s="899">
        <f t="shared" si="1"/>
        <v>17</v>
      </c>
      <c r="AG13" s="899">
        <f t="shared" si="1"/>
        <v>0</v>
      </c>
      <c r="AH13" s="899">
        <f t="shared" si="1"/>
        <v>50</v>
      </c>
      <c r="AI13" s="899">
        <f t="shared" si="1"/>
        <v>0</v>
      </c>
      <c r="AJ13" s="899">
        <f t="shared" si="1"/>
        <v>0</v>
      </c>
      <c r="AK13" s="899">
        <f t="shared" si="1"/>
        <v>0</v>
      </c>
      <c r="AL13" s="899">
        <f t="shared" si="1"/>
        <v>0</v>
      </c>
      <c r="AM13" s="899">
        <f t="shared" si="1"/>
        <v>2871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103</v>
      </c>
      <c r="BD13" s="899">
        <f t="shared" si="1"/>
        <v>300</v>
      </c>
      <c r="BE13" s="899">
        <f t="shared" si="1"/>
        <v>0</v>
      </c>
      <c r="BF13" s="899">
        <f t="shared" si="1"/>
        <v>0</v>
      </c>
      <c r="BG13" s="899">
        <f>IF(ISNUMBER(Datos!K13/Datos!J13),Datos!K13/Datos!J13," - ")</f>
        <v>0.94852941176470584</v>
      </c>
      <c r="BH13" s="903">
        <f>IF(ISNUMBER(((Datos!L13/Datos!K13)*11)/factor_trimestre),((Datos!L13/Datos!K13)*11)/factor_trimestre," - ")</f>
        <v>8.1782945736434112</v>
      </c>
      <c r="BI13" s="899">
        <f>IF(ISNUMBER('Resol  Asuntos'!D13/NºAsuntos!G13),'Resol  Asuntos'!D13/NºAsuntos!G13," - ")</f>
        <v>0.18558558558558558</v>
      </c>
      <c r="BJ13" s="899" t="str">
        <f>IF(ISNUMBER(Datos!CI13/Datos!CJ13),Datos!CI13/Datos!CJ13," - ")</f>
        <v xml:space="preserve"> - </v>
      </c>
      <c r="BK13" s="899">
        <f>SUBTOTAL(9,BK8:BK12)</f>
        <v>0</v>
      </c>
      <c r="BL13" s="899">
        <f>IF(ISNUMBER((I13-AB13+L13)/(F13)),(I13-AB13+L13)/(F13)," - ")</f>
        <v>-0.33333333333333331</v>
      </c>
      <c r="BM13" s="904">
        <f>SUBTOTAL(9,BM9:BM12)</f>
        <v>2.1974063400576369E-2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657</v>
      </c>
      <c r="G16" s="598">
        <f>IF(ISNUMBER(IF(D_I="SI",Datos!I16,Datos!I16+Datos!AC16)),IF(D_I="SI",Datos!I16,Datos!I16+Datos!AC16)," - ")</f>
        <v>655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573</v>
      </c>
      <c r="AC16" s="226">
        <f>IF(ISNUMBER(Datos!Q16),Datos!Q16," - ")</f>
        <v>36</v>
      </c>
      <c r="AD16" s="334"/>
      <c r="AE16" s="484"/>
      <c r="AF16" s="596">
        <f>IF(ISNUMBER(IF(D_I="SI",Datos!L16,Datos!L16+Datos!AF16)),IF(D_I="SI",Datos!L16,Datos!L16+Datos!AF16)," - ")</f>
        <v>792</v>
      </c>
      <c r="AG16" s="334"/>
      <c r="AH16" s="334"/>
      <c r="AI16" s="334"/>
      <c r="AJ16" s="334"/>
      <c r="AK16" s="334"/>
      <c r="AL16" s="479"/>
      <c r="AM16" s="335">
        <f>IF(ISNUMBER(Datos!R16),Datos!R16," - ")</f>
        <v>91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424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0.80932203389830504</v>
      </c>
      <c r="BH16" s="260">
        <f>IF(ISNUMBER(((IF(D_I="SI",Datos!L16/Datos!K16,(Datos!L16+Datos!AF16)/(Datos!K16+Datos!AE16)))*11)/factor_trimestre),((IF(D_I="SI",Datos!L16/Datos!K16,(Datos!L16+Datos!AF16)/(Datos!K16+Datos!AE16)))*11)/factor_trimestre," - ")</f>
        <v>2.7643979057591621</v>
      </c>
      <c r="BI16" s="243">
        <f>IF(ISNUMBER('Resol  Asuntos'!D16/NºAsuntos!G16),'Resol  Asuntos'!D16/NºAsuntos!G16," - ")</f>
        <v>7.5043630017452012E-2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43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0.80281690140845074</v>
      </c>
      <c r="BH17" s="260">
        <f>IF(ISNUMBER(((IF(D_I="SI",Datos!L17/Datos!K17,(Datos!L17+Datos!AF17)/(Datos!K17+Datos!AE17)))*11)/factor_trimestre),((IF(D_I="SI",Datos!L17/Datos!K17,(Datos!L17+Datos!AF17)/(Datos!K17+Datos!AE17)))*11)/factor_trimestre," - ")</f>
        <v>1.5087719298245614</v>
      </c>
      <c r="BI17" s="243">
        <f>IF(ISNUMBER('Resol  Asuntos'!D17/NºAsuntos!G17),'Resol  Asuntos'!D17/NºAsuntos!G17," - ")</f>
        <v>8.771929824561403E-2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3</v>
      </c>
      <c r="F18" s="898">
        <f>SUBTOTAL(9,F15:F17)</f>
        <v>657</v>
      </c>
      <c r="G18" s="898">
        <f>SUBTOTAL(9,G15:G17)</f>
        <v>684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630</v>
      </c>
      <c r="AC18" s="899">
        <f t="shared" si="4"/>
        <v>36</v>
      </c>
      <c r="AD18" s="899">
        <f t="shared" si="4"/>
        <v>0</v>
      </c>
      <c r="AE18" s="899">
        <f t="shared" si="4"/>
        <v>0</v>
      </c>
      <c r="AF18" s="899">
        <f t="shared" si="4"/>
        <v>835</v>
      </c>
      <c r="AG18" s="899">
        <f t="shared" si="4"/>
        <v>0</v>
      </c>
      <c r="AH18" s="899">
        <f t="shared" si="4"/>
        <v>0</v>
      </c>
      <c r="AI18" s="899">
        <f t="shared" si="4"/>
        <v>0</v>
      </c>
      <c r="AJ18" s="899">
        <f t="shared" si="4"/>
        <v>0</v>
      </c>
      <c r="AK18" s="899">
        <f t="shared" si="4"/>
        <v>0</v>
      </c>
      <c r="AL18" s="899">
        <f t="shared" si="4"/>
        <v>0</v>
      </c>
      <c r="AM18" s="899">
        <f t="shared" si="4"/>
        <v>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460</v>
      </c>
      <c r="BE18" s="899">
        <f t="shared" si="4"/>
        <v>0</v>
      </c>
      <c r="BF18" s="899">
        <f t="shared" si="4"/>
        <v>0</v>
      </c>
      <c r="BG18" s="899">
        <f>IF(ISNUMBER(Datos!K18/Datos!J18),Datos!K18/Datos!J18," - ")</f>
        <v>0.80872913992297812</v>
      </c>
      <c r="BH18" s="903">
        <f>IF(ISNUMBER(((Datos!L18/Datos!K18)*11)/factor_trimestre),((Datos!L18/Datos!K18)*11)/factor_trimestre," - ")</f>
        <v>2.6507936507936507</v>
      </c>
      <c r="BI18" s="899">
        <f>SUBTOTAL(9,BI15:BI17)</f>
        <v>0.16276292826306604</v>
      </c>
      <c r="BJ18" s="899">
        <f>SUBTOTAL(9,BJ15:BJ17)</f>
        <v>0</v>
      </c>
      <c r="BK18" s="899">
        <f>SUBTOTAL(9,BK15:BK17)</f>
        <v>0</v>
      </c>
      <c r="BL18" s="899">
        <f>IF(ISNUMBER((I18-AB18+L18)/(F18)),(I18-AB18+L18)/(F18)," - ")</f>
        <v>-0.95890410958904104</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6</v>
      </c>
      <c r="F19" s="820">
        <f t="shared" si="6"/>
        <v>678</v>
      </c>
      <c r="G19" s="820">
        <f t="shared" si="6"/>
        <v>705</v>
      </c>
      <c r="H19" s="822">
        <f t="shared" si="6"/>
        <v>0</v>
      </c>
      <c r="I19" s="820">
        <f t="shared" si="6"/>
        <v>0</v>
      </c>
      <c r="J19" s="822">
        <f t="shared" si="6"/>
        <v>0</v>
      </c>
      <c r="K19" s="822">
        <f t="shared" si="6"/>
        <v>0</v>
      </c>
      <c r="L19" s="881">
        <f t="shared" si="6"/>
        <v>0</v>
      </c>
      <c r="M19" s="881">
        <f t="shared" si="6"/>
        <v>0</v>
      </c>
      <c r="N19" s="881">
        <f t="shared" si="6"/>
        <v>52</v>
      </c>
      <c r="O19" s="881">
        <f t="shared" si="6"/>
        <v>0</v>
      </c>
      <c r="P19" s="881">
        <f t="shared" si="6"/>
        <v>0</v>
      </c>
      <c r="Q19" s="822">
        <f t="shared" si="6"/>
        <v>130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637</v>
      </c>
      <c r="AC19" s="821">
        <f t="shared" si="7"/>
        <v>76</v>
      </c>
      <c r="AD19" s="821">
        <f t="shared" si="7"/>
        <v>0</v>
      </c>
      <c r="AE19" s="821">
        <f t="shared" si="7"/>
        <v>0</v>
      </c>
      <c r="AF19" s="828">
        <f t="shared" si="7"/>
        <v>852</v>
      </c>
      <c r="AG19" s="828">
        <f t="shared" si="7"/>
        <v>0</v>
      </c>
      <c r="AH19" s="828">
        <f t="shared" si="7"/>
        <v>50</v>
      </c>
      <c r="AI19" s="828">
        <f t="shared" si="7"/>
        <v>0</v>
      </c>
      <c r="AJ19" s="821">
        <f t="shared" si="7"/>
        <v>0</v>
      </c>
      <c r="AK19" s="828">
        <f t="shared" si="7"/>
        <v>0</v>
      </c>
      <c r="AL19" s="828">
        <f t="shared" si="7"/>
        <v>0</v>
      </c>
      <c r="AM19" s="828">
        <f t="shared" si="7"/>
        <v>2962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151</v>
      </c>
      <c r="BD19" s="820">
        <f t="shared" si="7"/>
        <v>760</v>
      </c>
      <c r="BE19" s="820">
        <f t="shared" si="7"/>
        <v>0</v>
      </c>
      <c r="BF19" s="830">
        <f t="shared" si="7"/>
        <v>0</v>
      </c>
      <c r="BG19" s="915">
        <f>IF(ISNUMBER(Datos!K19/Datos!J19),Datos!K19/Datos!J19," - ")</f>
        <v>0.86621315192743764</v>
      </c>
      <c r="BH19" s="915">
        <f>IF(ISNUMBER(((Datos!L19/Datos!K19)*11)/factor_trimestre),((Datos!L19/Datos!K19)*11)/factor_trimestre," - ")</f>
        <v>5.1396160558464228</v>
      </c>
      <c r="BI19" s="813">
        <f>IF(ISNUMBER(Datos!J19/Datos!I19),Datos!J19/Datos!I19," - ")</f>
        <v>0.47830802603036876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-0.93952802359882004</v>
      </c>
      <c r="BM19" s="889">
        <f>IF(ISNUMBER((Datos!P19-Datos!Q19+R19)/(Datos!R19-Datos!P19+Datos!Q19-R19)),(Datos!P19-Datos!Q19+R19)/(Datos!R19-Datos!P19+Datos!Q19-R19)," - ")</f>
        <v>1.8569463548830812E-2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367.19477120460198</v>
      </c>
      <c r="G21" s="552">
        <f>IF(ISNUMBER(STDEV(G8:G18)),STDEV(G8:G18),"-")</f>
        <v>353.90111613274127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317.78955300638819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43.807153144967856</v>
      </c>
      <c r="BD21" s="551"/>
      <c r="BE21" s="551">
        <f>IF(ISNUMBER(STDEV(BE8:BE18)),STDEV(BE8:BE18),"-")</f>
        <v>0</v>
      </c>
      <c r="BF21" s="556">
        <f>IF(ISNUMBER(STDEV(BF8:BF18)),STDEV(BF8:BF18),"-")</f>
        <v>0</v>
      </c>
      <c r="BG21" s="775">
        <f>IF(ISNUMBER(STDEV(BG8:BG18)),STDEV(BG8:BG18),"-")</f>
        <v>0.60539576703254527</v>
      </c>
      <c r="BH21" s="776">
        <f>IF(ISNUMBER(STDEV(BH8:BH18)),STDEV(BH8:BH18),"-")</f>
        <v>2.8272012406846225</v>
      </c>
      <c r="BI21" s="249">
        <f>IF(ISNUMBER(STDEV(BI8:BI18)),STDEV(BI8:BI18),"-")</f>
        <v>5.4623790666802473E-2</v>
      </c>
      <c r="BJ21" s="230" t="str">
        <f>IF(ISNUMBER(BL21/BM21),BL21/BM21," - ")</f>
        <v xml:space="preserve"> - </v>
      </c>
      <c r="BK21" s="575"/>
      <c r="BL21" s="559">
        <f>IF(ISNUMBER(STDEV(BL8:BL18)),STDEV(BL8:BL18),"-")</f>
        <v>0.44234533800254322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7Qbh4wDmhvKj0tSZENn7nQ4Qwh3kDsp9MyQp6rkcYkl0tkYUPhNcxBXnSQdCoDZwCYxzea5GxKSqhgiVJTJ6ag==" saltValue="1taTFyzXSZMxFTmdyhf3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17</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4.8571428571428568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2837</v>
      </c>
      <c r="AF12" s="229" t="str">
        <f>IF(ISNUMBER(Datos!BV12),Datos!BV12," - ")</f>
        <v xml:space="preserve"> - </v>
      </c>
      <c r="AG12" s="225" t="str">
        <f>IF(ISNUMBER(Datos!DV12),Datos!DV12," - ")</f>
        <v xml:space="preserve"> - </v>
      </c>
      <c r="AH12" s="298"/>
      <c r="AI12" s="227"/>
      <c r="AJ12" s="225">
        <f>IF(ISNUMBER(Datos!M12),Datos!M12," - ")</f>
        <v>100</v>
      </c>
      <c r="AK12" s="229">
        <f>IF(ISNUMBER(Datos!N12),Datos!N12," - ")</f>
        <v>298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7.8211678832116798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2.1974063400576369E-2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3</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40</v>
      </c>
      <c r="AA13" s="900">
        <f t="shared" si="2"/>
        <v>17</v>
      </c>
      <c r="AB13" s="900">
        <f t="shared" si="2"/>
        <v>0</v>
      </c>
      <c r="AC13" s="900">
        <f t="shared" si="2"/>
        <v>0</v>
      </c>
      <c r="AD13" s="900">
        <f t="shared" si="2"/>
        <v>0</v>
      </c>
      <c r="AE13" s="900">
        <f t="shared" si="2"/>
        <v>2871</v>
      </c>
      <c r="AF13" s="908">
        <f t="shared" si="2"/>
        <v>0</v>
      </c>
      <c r="AG13" s="908">
        <f t="shared" si="2"/>
        <v>0</v>
      </c>
      <c r="AH13" s="908">
        <f t="shared" si="2"/>
        <v>0</v>
      </c>
      <c r="AI13" s="908">
        <f t="shared" si="2"/>
        <v>0</v>
      </c>
      <c r="AJ13" s="908">
        <f t="shared" si="2"/>
        <v>103</v>
      </c>
      <c r="AK13" s="908">
        <f t="shared" si="2"/>
        <v>300</v>
      </c>
      <c r="AL13" s="908">
        <f t="shared" si="2"/>
        <v>0</v>
      </c>
      <c r="AM13" s="908">
        <f t="shared" si="2"/>
        <v>0</v>
      </c>
      <c r="AN13" s="908">
        <f t="shared" si="2"/>
        <v>0</v>
      </c>
      <c r="AO13" s="904">
        <f>IF(ISNUMBER(((NºAsuntos!I13/NºAsuntos!G13)*11)/factor_trimestre),((NºAsuntos!I13/NºAsuntos!G13)*11)/factor_trimestre," - ")</f>
        <v>7.7837837837837842</v>
      </c>
      <c r="AP13" s="910" t="str">
        <f>IF(ISNUMBER(Datos!CI13/Datos!CJ13),Datos!CI13/Datos!CJ13," - ")</f>
        <v xml:space="preserve"> - </v>
      </c>
      <c r="AQ13" s="928">
        <f t="shared" ref="AQ13:AV13" si="3">SUBTOTAL(9,AQ9:AQ12)</f>
        <v>0</v>
      </c>
      <c r="AR13" s="928">
        <f t="shared" si="3"/>
        <v>2.1974063400576369E-2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657</v>
      </c>
      <c r="G16" s="225">
        <f>IF(ISNUMBER(IF(D_I="SI",Datos!I16,Datos!I16+Datos!AC16)),IF(D_I="SI",Datos!I16,Datos!I16+Datos!AC16)," - ")</f>
        <v>655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573</v>
      </c>
      <c r="Z16" s="619">
        <f>IF(ISNUMBER(Datos!Q16),Datos!Q16," - ")</f>
        <v>36</v>
      </c>
      <c r="AA16" s="332">
        <f>IF(ISNUMBER(IF(D_I="SI",Datos!L16,Datos!L16+Datos!AF16)),IF(D_I="SI",Datos!L16,Datos!L16+Datos!AF16)," - ")</f>
        <v>792</v>
      </c>
      <c r="AB16" s="334"/>
      <c r="AC16" s="334"/>
      <c r="AD16" s="484"/>
      <c r="AE16" s="484">
        <f>IF(ISNUMBER(Datos!R16),Datos!R16," - ")</f>
        <v>91</v>
      </c>
      <c r="AF16" s="229" t="str">
        <f>IF(ISNUMBER(Datos!BV16),Datos!BV16," - ")</f>
        <v xml:space="preserve"> - </v>
      </c>
      <c r="AG16" s="225"/>
      <c r="AH16" s="298"/>
      <c r="AI16" s="227"/>
      <c r="AJ16" s="225">
        <f>IF(ISNUMBER(Datos!M16),Datos!M16," - ")</f>
        <v>43</v>
      </c>
      <c r="AK16" s="229">
        <f>IF(ISNUMBER(Datos!N16),Datos!N16," - ")</f>
        <v>424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2.7643979057591621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43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1.5087719298245614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3</v>
      </c>
      <c r="F18" s="898">
        <f>SUBTOTAL(9,F15:F17)</f>
        <v>657</v>
      </c>
      <c r="G18" s="898">
        <f>SUBTOTAL(9,G15:G17)</f>
        <v>684</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630</v>
      </c>
      <c r="Z18" s="932">
        <f t="shared" si="5"/>
        <v>36</v>
      </c>
      <c r="AA18" s="932">
        <f t="shared" si="5"/>
        <v>835</v>
      </c>
      <c r="AB18" s="932">
        <f t="shared" si="5"/>
        <v>0</v>
      </c>
      <c r="AC18" s="932">
        <f t="shared" si="5"/>
        <v>0</v>
      </c>
      <c r="AD18" s="932">
        <f t="shared" si="5"/>
        <v>0</v>
      </c>
      <c r="AE18" s="932">
        <f t="shared" si="5"/>
        <v>91</v>
      </c>
      <c r="AF18" s="932">
        <f t="shared" si="5"/>
        <v>0</v>
      </c>
      <c r="AG18" s="932">
        <f t="shared" si="5"/>
        <v>0</v>
      </c>
      <c r="AH18" s="932">
        <f t="shared" si="5"/>
        <v>0</v>
      </c>
      <c r="AI18" s="932">
        <f t="shared" si="5"/>
        <v>0</v>
      </c>
      <c r="AJ18" s="932">
        <f t="shared" si="5"/>
        <v>48</v>
      </c>
      <c r="AK18" s="932">
        <f t="shared" si="5"/>
        <v>460</v>
      </c>
      <c r="AL18" s="932">
        <f t="shared" si="5"/>
        <v>0</v>
      </c>
      <c r="AM18" s="932">
        <f t="shared" si="5"/>
        <v>0</v>
      </c>
      <c r="AN18" s="932">
        <f t="shared" si="5"/>
        <v>0</v>
      </c>
      <c r="AO18" s="934">
        <f>IF(ISNUMBER(((NºAsuntos!I18/NºAsuntos!G18)*11)/factor_trimestre),((NºAsuntos!I18/NºAsuntos!G18)*11)/factor_trimestre," - ")</f>
        <v>2.6507936507936507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678</v>
      </c>
      <c r="G19" s="820">
        <f t="shared" si="7"/>
        <v>705</v>
      </c>
      <c r="H19" s="821">
        <f t="shared" si="7"/>
        <v>0</v>
      </c>
      <c r="I19" s="820">
        <f t="shared" si="7"/>
        <v>0</v>
      </c>
      <c r="J19" s="822">
        <f t="shared" si="7"/>
        <v>0</v>
      </c>
      <c r="K19" s="820">
        <f t="shared" si="7"/>
        <v>0</v>
      </c>
      <c r="L19" s="823">
        <f t="shared" si="7"/>
        <v>0</v>
      </c>
      <c r="M19" s="820">
        <f t="shared" si="7"/>
        <v>0</v>
      </c>
      <c r="N19" s="821">
        <f t="shared" si="7"/>
        <v>130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637</v>
      </c>
      <c r="Z19" s="827">
        <f t="shared" si="8"/>
        <v>76</v>
      </c>
      <c r="AA19" s="828">
        <f t="shared" si="8"/>
        <v>852</v>
      </c>
      <c r="AB19" s="828">
        <f t="shared" si="8"/>
        <v>0</v>
      </c>
      <c r="AC19" s="828">
        <f t="shared" si="8"/>
        <v>0</v>
      </c>
      <c r="AD19" s="829">
        <f t="shared" si="8"/>
        <v>0</v>
      </c>
      <c r="AE19" s="829">
        <f t="shared" si="8"/>
        <v>2962</v>
      </c>
      <c r="AF19" s="830">
        <f t="shared" si="8"/>
        <v>0</v>
      </c>
      <c r="AG19" s="831">
        <f t="shared" si="8"/>
        <v>0</v>
      </c>
      <c r="AH19" s="832">
        <f t="shared" si="8"/>
        <v>0</v>
      </c>
      <c r="AI19" s="830">
        <f t="shared" si="8"/>
        <v>0</v>
      </c>
      <c r="AJ19" s="820">
        <f t="shared" si="8"/>
        <v>151</v>
      </c>
      <c r="AK19" s="820">
        <f t="shared" si="8"/>
        <v>760</v>
      </c>
      <c r="AL19" s="820">
        <f t="shared" si="8"/>
        <v>0</v>
      </c>
      <c r="AM19" s="833">
        <f t="shared" si="8"/>
        <v>0</v>
      </c>
      <c r="AN19" s="823">
        <f>IF(ISNUMBER(Datos!K19/Datos!J19),Datos!K19/Datos!J19," - ")</f>
        <v>0.86621315192743764</v>
      </c>
      <c r="AO19" s="823">
        <f>IF(ISNUMBER(FIND("06",Criterios!A8,1)),(IF(ISNUMBER(((Datos!R19/Datos!Q19)*11)/factor_trimestre),((Datos!R19/Datos!Q19)*11)/factor_trimestre," - ")),(IF(ISNUMBER(((Datos!L19/Datos!K19)*11)/factor_trimestre),((Datos!L19/Datos!K19)*11)/factor_trimestre," - ")))</f>
        <v>5.1396160558464228</v>
      </c>
      <c r="AP19" s="834" t="str">
        <f>IF(ISNUMBER(Datos!CI19/Datos!CJ19),Datos!CI19/Datos!CJ19," - ")</f>
        <v xml:space="preserve"> - </v>
      </c>
      <c r="AQ19" s="834">
        <f>IF(OR(ISNUMBER(FIND("01",Criterios!A8,1)),ISNUMBER(FIND("02",Criterios!A8,1)),ISNUMBER(FIND("03",Criterios!A8,1)),ISNUMBER(FIND("04",Criterios!A8,1))),(J19-Y19+K19)/(F19-K19),(I19-Y19+K19)/(F19-K19))</f>
        <v>-0.93952802359882004</v>
      </c>
      <c r="AR19" s="834">
        <f>IF(ISNUMBER((Datos!P19-Datos!Q19+O19)/(Datos!R19-Datos!P19+Datos!Q19-O19)),(Datos!P19-Datos!Q19+O19)/(Datos!R19-Datos!P19+Datos!Q19-O19)," - ")</f>
        <v>1.8569463548830812E-2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367.19477120460198</v>
      </c>
      <c r="G21" s="552">
        <f>IF(ISNUMBER(STDEV(G8:G18)),STDEV(G8:G18),"-")</f>
        <v>353.90111613274127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43.807153144967856</v>
      </c>
      <c r="AK21" s="252"/>
      <c r="AL21" s="252">
        <f>IF(ISNUMBER(STDEV(AL8:AL18)),STDEV(AL8:AL18),"-")</f>
        <v>0</v>
      </c>
      <c r="AM21" s="254">
        <f>IF(ISNUMBER(STDEV(AM8:AM18)),STDEV(AM8:AM18),"-")</f>
        <v>0</v>
      </c>
      <c r="AN21" s="539">
        <f>IF(ISNUMBER(STDEV(AN8:AN18)),STDEV(AN8:AN18),"-")</f>
        <v>0</v>
      </c>
      <c r="AO21" s="540">
        <f>IF(ISNUMBER(STDEV(AO8:AO18)),STDEV(AO8:AO18),"-")</f>
        <v>2.7311326242261744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SVPJJNvpqlDLBOVA3juZ4Emq68DTw88ALWwgJ1xPuX6j8tQ/6tUwcUZc6M1kbEChykqLWm01QtAbFJLdSKMOWA==" saltValue="nL7LaKC5apoxs1dAMDD2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UYDstyT0PDsltCHggTPdYM7fhqW0XmYmWsJfe8mKblRAlto9apLEOiSEUDdxQo9uj6WNMRNtE0Z3UU87/1yRA==" saltValue="rZ7drXAkJzmupHOJKTwA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qo41ic5nKnBpu4J+gERUU2ZG1DSL7TRYgTvNHNZz/SmB1GMNSH3zy5Qk19Up2UUp7jTxC1jB+lQnHqc80mEzw==" saltValue="NxLVi/fnDkrRiBYRLO3cW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0.18558558558558558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0.13122882605804395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xoy6+CBrpk9qUCiO2ZRuC/9AB5Fzz7JdlznGQttpOOzoc6dTJI9H9t0HL5rpgWE1WfRvCebow1EjGdxGGxy+CQ==" saltValue="LoYLs6SNUmP0gaMSDK+k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6XjNcco5Eb8gNmrnI3QivF0QPd21e1XliBKDGnvCcwCldd7OBvp0TSNuqV+GcxKhlXVbGGysFTAlHvwlDxNYg==" saltValue="J0xMH7i61AqOhvRUbNAG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VILLENA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3</v>
      </c>
      <c r="F10" s="404">
        <f>IF(ISNUMBER(E10/B10),E10/B10," - ")</f>
        <v>3</v>
      </c>
      <c r="G10" s="403">
        <f>IF(ISNUMBER(Datos!K10),Datos!K10," - ")</f>
        <v>7</v>
      </c>
      <c r="H10" s="404">
        <f>IF(ISNUMBER(G10/B10),G10/B10," - ")</f>
        <v>7</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2098</v>
      </c>
      <c r="D12" s="404">
        <f>IF(ISNUMBER(C12/Datos!BH12),C12/Datos!BH12," - ")</f>
        <v>699.33333333333337</v>
      </c>
      <c r="E12" s="403">
        <f>IF(ISNUMBER(IF(J_V="SI",Datos!J12,Datos!J12+Datos!Z12)),IF(J_V="SI",Datos!J12,Datos!J12+Datos!Z12)," - ")</f>
        <v>593</v>
      </c>
      <c r="F12" s="404">
        <f>IF(ISNUMBER(E12/B12),E12/B12," - ")</f>
        <v>197.66666666666666</v>
      </c>
      <c r="G12" s="403">
        <f>IF(ISNUMBER(IF(J_V="SI",Datos!K12,Datos!K12+Datos!AA12)),IF(J_V="SI",Datos!K12,Datos!K12+Datos!AA12)," - ")</f>
        <v>548</v>
      </c>
      <c r="H12" s="404">
        <f>IF(ISNUMBER(G12/B12),G12/B12," - ")</f>
        <v>182.66666666666666</v>
      </c>
      <c r="I12" s="403">
        <f>IF(ISNUMBER(IF(J_V="SI",Datos!L12,Datos!L12+Datos!AB12)),IF(J_V="SI",Datos!L12,Datos!L12+Datos!AB12)," - ")</f>
        <v>2143</v>
      </c>
      <c r="J12" s="404">
        <f>IF(ISNUMBER(I12/B12),I12/B12," - ")</f>
        <v>714.33333333333337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2119</v>
      </c>
      <c r="D13" s="850" t="str">
        <f>IF(ISNUMBER(C13/Datos!BI13),C13/Datos!BI13," - ")</f>
        <v xml:space="preserve"> - </v>
      </c>
      <c r="E13" s="849">
        <f>SUBTOTAL(9,E8:E12)</f>
        <v>596</v>
      </c>
      <c r="F13" s="850">
        <f>IF(ISNUMBER(E13/B13),E13/B13," - ")</f>
        <v>198.66666666666666</v>
      </c>
      <c r="G13" s="849">
        <f>SUBTOTAL(9,G8:G12)</f>
        <v>555</v>
      </c>
      <c r="H13" s="850">
        <f>IF(ISNUMBER(G13/B13),G13/B13," - ")</f>
        <v>185</v>
      </c>
      <c r="I13" s="849">
        <f>SUBTOTAL(9,I8:I12)</f>
        <v>2160</v>
      </c>
      <c r="J13" s="850">
        <f>IF(ISNUMBER(I13/B13),I13/B13," - ")</f>
        <v>720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655</v>
      </c>
      <c r="D16" s="404">
        <f>IF(ISNUMBER(C16/Datos!BH16),C16/Datos!BH16," - ")</f>
        <v>218.33333333333334</v>
      </c>
      <c r="E16" s="403">
        <f>IF(ISNUMBER(IF(D_I="SI",Datos!J16,Datos!J16+Datos!AD16)),IF(D_I="SI",Datos!J16,Datos!J16+Datos!AD16)," - ")</f>
        <v>708</v>
      </c>
      <c r="F16" s="404">
        <f>IF(ISNUMBER(E16/B16),E16/B16," - ")</f>
        <v>236</v>
      </c>
      <c r="G16" s="403">
        <f>IF(ISNUMBER(IF(D_I="SI",Datos!K16,Datos!K16+Datos!AE16)),IF(D_I="SI",Datos!K16,Datos!K16+Datos!AE16)," - ")</f>
        <v>573</v>
      </c>
      <c r="H16" s="404">
        <f>IF(ISNUMBER(G16/B16),G16/B16," - ")</f>
        <v>191</v>
      </c>
      <c r="I16" s="403">
        <f>IF(ISNUMBER(IF(D_I="SI",Datos!L16,Datos!L16+Datos!AF16)),IF(D_I="SI",Datos!L16,Datos!L16+Datos!AF16)," - ")</f>
        <v>792</v>
      </c>
      <c r="J16" s="404">
        <f>IF(ISNUMBER(I16/B16),I16/B16," - ")</f>
        <v>264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71</v>
      </c>
      <c r="F17" s="404">
        <f>IF(ISNUMBER(E17/B17),E17/B17," - ")</f>
        <v>71</v>
      </c>
      <c r="G17" s="403">
        <f>IF(ISNUMBER(IF(D_I="SI",Datos!K17,Datos!K17+Datos!AE17)),IF(D_I="SI",Datos!K17,Datos!K17+Datos!AE17)," - ")</f>
        <v>57</v>
      </c>
      <c r="H17" s="404">
        <f>IF(ISNUMBER(G17/B17),G17/B17," - ")</f>
        <v>57</v>
      </c>
      <c r="I17" s="403">
        <f>IF(ISNUMBER(IF(D_I="SI",Datos!L17,Datos!L17+Datos!AF17)),IF(D_I="SI",Datos!L17,Datos!L17+Datos!AF17)," - ")</f>
        <v>43</v>
      </c>
      <c r="J17" s="404">
        <f>IF(ISNUMBER(I17/B17),I17/B17," - ")</f>
        <v>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684</v>
      </c>
      <c r="D18" s="850" t="str">
        <f>IF(ISNUMBER(C18/Datos!BI18),C18/Datos!BI18," - ")</f>
        <v xml:space="preserve"> - </v>
      </c>
      <c r="E18" s="849">
        <f>SUBTOTAL(9,E14:E17)</f>
        <v>779</v>
      </c>
      <c r="F18" s="850">
        <f>IF(ISNUMBER(E18/B18),E18/B18," - ")</f>
        <v>259.66666666666669</v>
      </c>
      <c r="G18" s="849">
        <f>SUBTOTAL(9,G14:G17)</f>
        <v>630</v>
      </c>
      <c r="H18" s="850">
        <f>IF(ISNUMBER(G18/B18),G18/B18," - ")</f>
        <v>210</v>
      </c>
      <c r="I18" s="849">
        <f>SUBTOTAL(9,I14:I17)</f>
        <v>835</v>
      </c>
      <c r="J18" s="850">
        <f>IF(ISNUMBER(I18/B18),I18/B18," - ")</f>
        <v>278.33333333333331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2803</v>
      </c>
      <c r="D19" s="795" t="str">
        <f>IF(ISNUMBER(C19/Datos!BI19),C19/Datos!BI19," - ")</f>
        <v xml:space="preserve"> - </v>
      </c>
      <c r="E19" s="794">
        <f>SUBTOTAL(9,E9:E18)</f>
        <v>1375</v>
      </c>
      <c r="F19" s="795">
        <f>IF(ISNUMBER(E19/B19),E19/B19," - ")</f>
        <v>458.33333333333331</v>
      </c>
      <c r="G19" s="794">
        <f>SUBTOTAL(9,G9:G18)</f>
        <v>1185</v>
      </c>
      <c r="H19" s="795">
        <f>IF(ISNUMBER(G19/B19),G19/B19," - ")</f>
        <v>395</v>
      </c>
      <c r="I19" s="794">
        <f>SUBTOTAL(9,I9:I18)</f>
        <v>2995</v>
      </c>
      <c r="J19" s="795">
        <f>IF(ISNUMBER(I19/B19),I19/B19," - ")</f>
        <v>998.33333333333337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Cwxs1FPfgdustyN3YO7R2tA3GYLUzZS7rxg7Ha3IY87vuQj9y8XsjT8/0SsIw1inIMDxQmTdHh/2p5V7jB0SVw==" saltValue="mBCvyWtURDHM7Ad23f8y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4.8571428571428568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100</v>
      </c>
      <c r="AM12" s="690">
        <f>IF(ISNUMBER(Datos!N12+DatosP!N16),Datos!N12+DatosP!N16," - ")</f>
        <v>298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7.8211678832116798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2.1974063400576369E-2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40</v>
      </c>
      <c r="AE13" s="939">
        <f t="shared" si="1"/>
        <v>0</v>
      </c>
      <c r="AF13" s="939">
        <f t="shared" si="1"/>
        <v>17</v>
      </c>
      <c r="AG13" s="939">
        <f t="shared" si="1"/>
        <v>0</v>
      </c>
      <c r="AH13" s="939">
        <f t="shared" si="1"/>
        <v>2837</v>
      </c>
      <c r="AI13" s="939">
        <f t="shared" si="1"/>
        <v>0</v>
      </c>
      <c r="AJ13" s="939">
        <f t="shared" si="1"/>
        <v>0</v>
      </c>
      <c r="AK13" s="939">
        <f t="shared" si="1"/>
        <v>0</v>
      </c>
      <c r="AL13" s="939">
        <f t="shared" si="1"/>
        <v>103</v>
      </c>
      <c r="AM13" s="939">
        <f t="shared" si="1"/>
        <v>300</v>
      </c>
      <c r="AN13" s="939">
        <f t="shared" si="1"/>
        <v>0</v>
      </c>
      <c r="AO13" s="939">
        <f t="shared" si="1"/>
        <v>0</v>
      </c>
      <c r="AP13" s="944">
        <f>IF(ISNUMBER(((Datos!L13/Datos!K13)*11)/factor_trimestre),((Datos!L13/Datos!K13)*11)/factor_trimestre," - ")</f>
        <v>8.1782945736434112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2.1974063400576369E-2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2.6507936507936507</v>
      </c>
      <c r="AQ18" s="944">
        <f>IF(ISNUMBER(((Datos!M18/Datos!L18)*11)/factor_trimestre),((Datos!M18/Datos!L18)*11)/factor_trimestre," - ")</f>
        <v>0.11497005988023951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-5.434782608695652E-2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40</v>
      </c>
      <c r="AE19" s="957">
        <f t="shared" si="5"/>
        <v>0</v>
      </c>
      <c r="AF19" s="958">
        <f t="shared" si="5"/>
        <v>17</v>
      </c>
      <c r="AG19" s="958">
        <f t="shared" si="5"/>
        <v>0</v>
      </c>
      <c r="AH19" s="958">
        <f t="shared" si="5"/>
        <v>2837</v>
      </c>
      <c r="AI19" s="958">
        <f t="shared" si="5"/>
        <v>0</v>
      </c>
      <c r="AJ19" s="959">
        <f t="shared" si="5"/>
        <v>0</v>
      </c>
      <c r="AK19" s="959">
        <f t="shared" si="5"/>
        <v>0</v>
      </c>
      <c r="AL19" s="951">
        <f t="shared" si="5"/>
        <v>103</v>
      </c>
      <c r="AM19" s="951">
        <f t="shared" si="5"/>
        <v>300</v>
      </c>
      <c r="AN19" s="951">
        <f t="shared" si="5"/>
        <v>0</v>
      </c>
      <c r="AO19" s="951">
        <f t="shared" si="5"/>
        <v>0</v>
      </c>
      <c r="AP19" s="951">
        <f>IF(ISNUMBER(((Datos!L19/Datos!K19)*11)/factor_trimestre),((Datos!L19/Datos!K19)*11)/factor_trimestre," - ")</f>
        <v>5.1396160558464228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1.8569463548830812E-2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57.761001838033707</v>
      </c>
      <c r="AM21" s="736"/>
      <c r="AN21" s="736">
        <f>IF(ISNUMBER(STDEV(AN8:AN18)),STDEV(AN8:AN18),"-")</f>
        <v>0</v>
      </c>
      <c r="AO21" s="742">
        <f>IF(ISNUMBER(STDEV(AO8:AO18)),STDEV(AO8:AO18),"-")</f>
        <v>0</v>
      </c>
      <c r="AP21" s="779">
        <f>IF(ISNUMBER(STDEV(AP8:AP18)),STDEV(AP8:AP18),"-")</f>
        <v>2.615610915380806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rwSitvdNBukoqQzsqpzT7vCcZtYAjRYOgvHB+qvdLaghrsQtWcT8H/qnIMEOEi5xJw2tm6MIoVx93QkCOoP+rA==" saltValue="G+VclPo85CmodtPuC0MY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G4hpswQmFMB2vM23ILfNB2nlwLZ0XhxxpGPWcWkOH7+1/X+ojv9odizPm5bE8FgAbEkGuSNrrhyu6Qwg5IdKlQ==" saltValue="LIg/AJAIrUlmk8521Giz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VILLENA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100</v>
      </c>
      <c r="E12" s="404">
        <f t="shared" si="0"/>
        <v>33.333333333333336</v>
      </c>
      <c r="F12" s="403">
        <f>IF(ISNUMBER(Datos!N12),Datos!N12," - ")</f>
        <v>298</v>
      </c>
      <c r="G12" s="404">
        <f t="shared" si="1"/>
        <v>99.333333333333329</v>
      </c>
      <c r="H12" s="403">
        <f>IF(ISNUMBER(Datos!O12),Datos!O12," - ")</f>
        <v>182</v>
      </c>
      <c r="I12" s="404">
        <f t="shared" si="2"/>
        <v>60.666666666666664</v>
      </c>
      <c r="BZ12" s="1186">
        <f>Datos!EZ12</f>
        <v>0</v>
      </c>
    </row>
    <row r="13" spans="1:78" ht="14.25" thickTop="1" thickBot="1">
      <c r="A13" s="848" t="str">
        <f>Datos!A13</f>
        <v>TOTAL</v>
      </c>
      <c r="B13" s="849">
        <f>Datos!AP13</f>
        <v>3</v>
      </c>
      <c r="C13" s="851">
        <f>Datos!AR13</f>
        <v>3</v>
      </c>
      <c r="D13" s="849">
        <f>SUBTOTAL(9,D9:D12)</f>
        <v>103</v>
      </c>
      <c r="E13" s="850">
        <f t="shared" si="0"/>
        <v>34.333333333333336</v>
      </c>
      <c r="F13" s="849">
        <f>SUBTOTAL(9,F9:F12)</f>
        <v>300</v>
      </c>
      <c r="G13" s="850">
        <f t="shared" si="1"/>
        <v>100</v>
      </c>
      <c r="H13" s="849">
        <f>SUBTOTAL(9,H9:H12)</f>
        <v>182</v>
      </c>
      <c r="I13" s="850">
        <f>IF(ISNUMBER(H13/B13),H13/B13," - ")</f>
        <v>60.666666666666664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43</v>
      </c>
      <c r="E16" s="404">
        <f t="shared" si="3"/>
        <v>14.333333333333334</v>
      </c>
      <c r="F16" s="403">
        <f>IF(ISNUMBER(Datos!N16),Datos!N16," - ")</f>
        <v>424</v>
      </c>
      <c r="G16" s="404">
        <f t="shared" si="4"/>
        <v>141.33333333333334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48</v>
      </c>
      <c r="E18" s="850">
        <f t="shared" si="3"/>
        <v>16</v>
      </c>
      <c r="F18" s="849">
        <f>SUBTOTAL(9,F15:F17)</f>
        <v>460</v>
      </c>
      <c r="G18" s="850">
        <f t="shared" si="4"/>
        <v>153.33333333333334</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151</v>
      </c>
      <c r="E19" s="795">
        <f>IF(ISNUMBER(D19/B19),D19/B19," - ")</f>
        <v>50.333333333333336</v>
      </c>
      <c r="F19" s="794">
        <f>SUBTOTAL(9,F8:F18)</f>
        <v>760</v>
      </c>
      <c r="G19" s="795">
        <f>IF(ISNUMBER(F19/B19),F19/B19," - ")</f>
        <v>253.33333333333334</v>
      </c>
      <c r="H19" s="794">
        <f>SUBTOTAL(9,H8:H18)</f>
        <v>182</v>
      </c>
      <c r="I19" s="795">
        <f>IF(ISNUMBER(H19/B19),H19/B19," - ")</f>
        <v>60.666666666666664</v>
      </c>
    </row>
    <row r="22" spans="1:78">
      <c r="A22" s="391" t="str">
        <f>Criterios!A4</f>
        <v>Fecha Informe: 29 nov. 2024</v>
      </c>
    </row>
    <row r="27" spans="1:78">
      <c r="A27" s="414"/>
    </row>
  </sheetData>
  <sheetProtection algorithmName="SHA-512" hashValue="SllTkysP8AE+nQ/xlIkRV+3D2m/vK/OYdu6S09tiEpxF3s27omBx/pp2WEJW+MhD4Rzyc+torg4kqUQ/BXczPg==" saltValue="d/w90Y5NKCMEB7+a2UTV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VILLENA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40</v>
      </c>
      <c r="D12" s="408">
        <f>IF(ISNUMBER(Datos!R12),Datos!R12," - ")</f>
        <v>2837</v>
      </c>
    </row>
    <row r="13" spans="1:4" ht="14.25" thickTop="1" thickBot="1">
      <c r="A13" s="848" t="str">
        <f>Datos!A13</f>
        <v>TOTAL</v>
      </c>
      <c r="B13" s="849">
        <f>SUBTOTAL(9,B9:B12)</f>
        <v>101</v>
      </c>
      <c r="C13" s="853">
        <f>SUBTOTAL(9,C9:C12)</f>
        <v>40</v>
      </c>
      <c r="D13" s="851">
        <f>SUBTOTAL(9,D9:D12)</f>
        <v>2871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36</v>
      </c>
      <c r="D16" s="408">
        <f>IF(ISNUMBER(Datos!R16),Datos!R16," - ")</f>
        <v>91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36</v>
      </c>
      <c r="D18" s="851">
        <f>SUBTOTAL(9,D15:D17)</f>
        <v>91</v>
      </c>
    </row>
    <row r="19" spans="1:4" ht="16.5" customHeight="1" thickTop="1" thickBot="1">
      <c r="A19" s="793" t="str">
        <f>Datos!A19</f>
        <v>TOTAL JURISDICCIONES</v>
      </c>
      <c r="B19" s="798">
        <f>SUBTOTAL(9,B8:B18)</f>
        <v>130</v>
      </c>
      <c r="C19" s="799">
        <f>SUBTOTAL(9,C8:C18)</f>
        <v>76</v>
      </c>
      <c r="D19" s="800">
        <f>SUBTOTAL(9,D8:D18)</f>
        <v>2962</v>
      </c>
    </row>
    <row r="20" spans="1:4" ht="7.5" customHeight="1"/>
    <row r="21" spans="1:4" ht="6" customHeight="1"/>
    <row r="22" spans="1:4">
      <c r="A22" s="391" t="str">
        <f>Criterios!A4</f>
        <v>Fecha Informe: 29 nov. 2024</v>
      </c>
    </row>
    <row r="27" spans="1:4">
      <c r="A27" s="414"/>
    </row>
  </sheetData>
  <sheetProtection algorithmName="SHA-512" hashValue="WkBQ9bqoer2cgZjkP713YT8WobSKMYAQCIwqW6Qa0GtVrKAYe+Ag6Fq5Bkp3J7W7cU3UVJF0WaKWUFAyuLanGQ==" saltValue="gvxVqo4jGkxdJgwtZlPs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VILLENA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-0.19230769230769232</v>
      </c>
      <c r="C10" s="456">
        <f>IF(ISNUMBER((Datos!J10-Datos!T10)/Datos!T10),(Datos!J10-Datos!T10)/Datos!T10," - ")</f>
        <v>0.5</v>
      </c>
      <c r="D10" s="456" t="str">
        <f>IF(ISNUMBER((Datos!K10-Datos!U10)/Datos!U10),(Datos!K10-Datos!U10)/Datos!U10," - ")</f>
        <v xml:space="preserve"> - </v>
      </c>
      <c r="E10" s="456">
        <f>IF(ISNUMBER((Datos!L10-Datos!V10)/Datos!V10),(Datos!L10-Datos!V10)/Datos!V10," - ")</f>
        <v>-0.2608695652173913</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0.16232686980609418</v>
      </c>
      <c r="C12" s="456">
        <f>IF(ISNUMBER(
   IF(J_V="SI",(Datos!J12-Datos!T12)/Datos!T12,(Datos!J12+Datos!Z12-(Datos!T12+Datos!AH12))/(Datos!T12+Datos!AH12))
     ),IF(J_V="SI",(Datos!J12-Datos!T12)/Datos!T12,(Datos!J12+Datos!Z12-(Datos!T12+Datos!AH12))/(Datos!T12+Datos!AH12))," - ")</f>
        <v>0.12737642585551331</v>
      </c>
      <c r="D12" s="456">
        <f>IF(ISNUMBER(
   IF(J_V="SI",(Datos!K12-Datos!U12)/Datos!U12,(Datos!K12+Datos!AA12-(Datos!U12+Datos!AI12))/(Datos!U12+Datos!AI12))
     ),IF(J_V="SI",(Datos!K12-Datos!U12)/Datos!U12,(Datos!K12+Datos!AA12-(Datos!U12+Datos!AI12))/(Datos!U12+Datos!AI12))," - ")</f>
        <v>0.37688442211055279</v>
      </c>
      <c r="E12" s="456">
        <f>IF(ISNUMBER(
   IF(J_V="SI",(Datos!L12-Datos!V12)/Datos!V12,(Datos!L12+Datos!AB12-(Datos!V12+Datos!AJ12))/(Datos!V12+Datos!AJ12))
     ),IF(J_V="SI",(Datos!L12-Datos!V12)/Datos!V12,(Datos!L12+Datos!AB12-(Datos!V12+Datos!AJ12))/(Datos!V12+Datos!AJ12))," - ")</f>
        <v>0.16721132897603486</v>
      </c>
      <c r="F12" s="456">
        <f>IF(ISNUMBER((Datos!M12-Datos!W12)/Datos!W12),(Datos!M12-Datos!W12)/Datos!W12," - ")</f>
        <v>0.53846153846153844</v>
      </c>
      <c r="G12" s="457">
        <f>IF(ISNUMBER((Datos!N12-Datos!X12)/Datos!X12),(Datos!N12-Datos!X12)/Datos!X12," - ")</f>
        <v>0.37962962962962965</v>
      </c>
      <c r="H12" s="455">
        <f>IF(ISNUMBER(((NºAsuntos!G12/NºAsuntos!E12)-Datos!BD12)/Datos!BD12),((NºAsuntos!G12/NºAsuntos!E12)-Datos!BD12)/Datos!BD12," - ")</f>
        <v>0.22131737947748858</v>
      </c>
      <c r="I12" s="456">
        <f>IF(ISNUMBER(((NºAsuntos!I12/NºAsuntos!G12)-Datos!BE12)/Datos!BE12),((NºAsuntos!I12/NºAsuntos!G12)-Datos!BE12)/Datos!BE12," - ")</f>
        <v>-0.15228082311594543</v>
      </c>
      <c r="J12" s="461">
        <f>IF(ISNUMBER((('Resol  Asuntos'!D12/NºAsuntos!G12)-Datos!BF12)/Datos!BF12),(('Resol  Asuntos'!D12/NºAsuntos!G12)-Datos!BF12)/Datos!BF12," - ")</f>
        <v>-0.66376047580427144</v>
      </c>
      <c r="K12" s="462">
        <f>IF(ISNUMBER((((NºAsuntos!C12+NºAsuntos!E12)/NºAsuntos!G12)-Datos!BG12)/Datos!BG12),(((NºAsuntos!C12+NºAsuntos!E12)/NºAsuntos!G12)-Datos!BG12)/Datos!BG12," - ")</f>
        <v>-0.16155623819857395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0.15729109776078645</v>
      </c>
      <c r="C13" s="855">
        <f>IF(ISNUMBER(
   IF(J_V="SI",(Datos!J13-Datos!T13)/Datos!T13,(Datos!J13+Datos!Z13-(Datos!T13+Datos!AH13))/(Datos!T13+Datos!AH13))
     ),IF(J_V="SI",(Datos!J13-Datos!T13)/Datos!T13,(Datos!J13+Datos!Z13-(Datos!T13+Datos!AH13))/(Datos!T13+Datos!AH13))," - ")</f>
        <v>0.12878787878787878</v>
      </c>
      <c r="D13" s="855">
        <f>IF(ISNUMBER(
   IF(J_V="SI",(Datos!K13-Datos!U13)/Datos!U13,(Datos!K13+Datos!AA13-(Datos!U13+Datos!AI13))/(Datos!U13+Datos!AI13))
     ),IF(J_V="SI",(Datos!K13-Datos!U13)/Datos!U13,(Datos!K13+Datos!AA13-(Datos!U13+Datos!AI13))/(Datos!U13+Datos!AI13))," - ")</f>
        <v>0.39447236180904521</v>
      </c>
      <c r="E13" s="855">
        <f>IF(ISNUMBER(
   IF(J_V="SI",(Datos!L13-Datos!V13)/Datos!V13,(Datos!L13+Datos!AB13-(Datos!V13+Datos!AJ13))/(Datos!V13+Datos!AJ13))
     ),IF(J_V="SI",(Datos!L13-Datos!V13)/Datos!V13,(Datos!L13+Datos!AB13-(Datos!V13+Datos!AJ13))/(Datos!V13+Datos!AJ13))," - ")</f>
        <v>0.16191500806885423</v>
      </c>
      <c r="F13" s="856">
        <f>IF(ISNUMBER((Datos!M13-Datos!W13)/Datos!W13),(Datos!M13-Datos!W13)/Datos!W13," - ")</f>
        <v>0.58461538461538465</v>
      </c>
      <c r="G13" s="857">
        <f>IF(ISNUMBER((Datos!N13-Datos!X13)/Datos!X13),(Datos!N13-Datos!X13)/Datos!X13," - ")</f>
        <v>0.3888888888888889</v>
      </c>
      <c r="H13" s="857">
        <f>IF(ISNUMBER(((NºAsuntos!G13/NºAsuntos!E13)-Datos!BD13)/Datos!BD13),((NºAsuntos!G13/NºAsuntos!E13)-Datos!BD13)/Datos!BD13," - ")</f>
        <v>0.23537148831405344</v>
      </c>
      <c r="I13" s="857">
        <f>IF(ISNUMBER(((NºAsuntos!I13/NºAsuntos!G13)-Datos!BE13)/Datos!BE13),((NºAsuntos!I13/NºAsuntos!G13)-Datos!BE13)/Datos!BE13," - ")</f>
        <v>-0.16677085907855127</v>
      </c>
      <c r="J13" s="857">
        <f>IF(ISNUMBER((('Resol  Asuntos'!D13/NºAsuntos!G13)-Datos!BF13)/Datos!BF13),(('Resol  Asuntos'!D13/NºAsuntos!G13)-Datos!BF13)/Datos!BF13," - ")</f>
        <v>-0.65804137470804136</v>
      </c>
      <c r="K13" s="857">
        <f>IF(ISNUMBER((((NºAsuntos!C13+NºAsuntos!E13)/NºAsuntos!G13)-Datos!BG13)/Datos!BG13),(((NºAsuntos!C13+NºAsuntos!E13)/NºAsuntos!G13)-Datos!BG13)/Datos!BG13," - ")</f>
        <v>-0.17466173252523404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-0.29035752979414953</v>
      </c>
      <c r="C16" s="456">
        <f>IF(ISNUMBER(
   IF(D_I="SI",(Datos!J16-Datos!T16)/Datos!T16,(Datos!J16+Datos!AD16-(Datos!T16+Datos!AL16))/(Datos!T16+Datos!AL16))
     ),IF(D_I="SI",(Datos!J16-Datos!T16)/Datos!T16,(Datos!J16+Datos!AD16-(Datos!T16+Datos!AL16))/(Datos!T16+Datos!AL16))," - ")</f>
        <v>0.2733812949640288</v>
      </c>
      <c r="D16" s="456">
        <f>IF(ISNUMBER(
   IF(D_I="SI",(Datos!K16-Datos!U16)/Datos!U16,(Datos!K16+Datos!AE16-(Datos!U16+Datos!AM16))/(Datos!U16+Datos!AM16))
     ),IF(D_I="SI",(Datos!K16-Datos!U16)/Datos!U16,(Datos!K16+Datos!AE16-(Datos!U16+Datos!AM16))/(Datos!U16+Datos!AM16))," - ")</f>
        <v>-0.11710323574730354</v>
      </c>
      <c r="E16" s="456">
        <f>IF(ISNUMBER(
   IF(D_I="SI",(Datos!L16-Datos!V16)/Datos!V16,(Datos!L16+Datos!AF16-(Datos!V16+Datos!AN16))/(Datos!V16+Datos!AN16))
     ),IF(D_I="SI",(Datos!L16-Datos!V16)/Datos!V16,(Datos!L16+Datos!AF16-(Datos!V16+Datos!AN16))/(Datos!V16+Datos!AN16))," - ")</f>
        <v>-4.5783132530120479E-2</v>
      </c>
      <c r="F16" s="456">
        <f>IF(ISNUMBER((Datos!M16-Datos!W16)/Datos!W16),(Datos!M16-Datos!W16)/Datos!W16," - ")</f>
        <v>0.10256410256410256</v>
      </c>
      <c r="G16" s="457">
        <f>IF(ISNUMBER((Datos!N16-Datos!X16)/Datos!X16),(Datos!N16-Datos!X16)/Datos!X16," - ")</f>
        <v>0.1276595744680851</v>
      </c>
      <c r="H16" s="455">
        <f>IF(ISNUMBER(((NºAsuntos!G16/NºAsuntos!E16)-Datos!BD16)/Datos!BD16),((NºAsuntos!G16/NºAsuntos!E16)-Datos!BD16)/Datos!BD16," - ")</f>
        <v>-0.30665169360946443</v>
      </c>
      <c r="I16" s="456">
        <f>IF(ISNUMBER(((NºAsuntos!I16/NºAsuntos!G16)-Datos!BE16)/Datos!BE16),((NºAsuntos!I16/NºAsuntos!G16)-Datos!BE16)/Datos!BE16," - ")</f>
        <v>8.0779663155238768E-2</v>
      </c>
      <c r="J16" s="461">
        <f>IF(ISNUMBER((('Resol  Asuntos'!D16/NºAsuntos!G16)-Datos!BF16)/Datos!BF16),(('Resol  Asuntos'!D16/NºAsuntos!G16)-Datos!BF16)/Datos!BF16," - ")</f>
        <v>0.24880297131606044</v>
      </c>
      <c r="K16" s="462">
        <f>IF(ISNUMBER((((NºAsuntos!C16+NºAsuntos!E16)/NºAsuntos!G16)-Datos!BG16)/Datos!BG16),(((NºAsuntos!C16+NºAsuntos!E16)/NºAsuntos!G16)-Datos!BG16)/Datos!BG16," - ")</f>
        <v>4.3801115559662027E-2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-0.14705882352941177</v>
      </c>
      <c r="C17" s="456">
        <f>IF(ISNUMBER(
   IF(D_I="SI",(Datos!J17-Datos!T17)/Datos!T17,(Datos!J17+Datos!AD17-(Datos!T17+Datos!AL17))/(Datos!T17+Datos!AL17))
     ),IF(D_I="SI",(Datos!J17-Datos!T17)/Datos!T17,(Datos!J17+Datos!AD17-(Datos!T17+Datos!AL17))/(Datos!T17+Datos!AL17))," - ")</f>
        <v>2.8985507246376812E-2</v>
      </c>
      <c r="D17" s="456">
        <f>IF(ISNUMBER(
   IF(D_I="SI",(Datos!K17-Datos!U17)/Datos!U17,(Datos!K17+Datos!AE17-(Datos!U17+Datos!AM17))/(Datos!U17+Datos!AM17))
     ),IF(D_I="SI",(Datos!K17-Datos!U17)/Datos!U17,(Datos!K17+Datos!AE17-(Datos!U17+Datos!AM17))/(Datos!U17+Datos!AM17))," - ")</f>
        <v>-0.13636363636363635</v>
      </c>
      <c r="E17" s="456">
        <f>IF(ISNUMBER(
   IF(D_I="SI",(Datos!L17-Datos!V17)/Datos!V17,(Datos!L17+Datos!AF17-(Datos!V17+Datos!AN17))/(Datos!V17+Datos!AN17))
     ),IF(D_I="SI",(Datos!L17-Datos!V17)/Datos!V17,(Datos!L17+Datos!AF17-(Datos!V17+Datos!AN17))/(Datos!V17+Datos!AN17))," - ")</f>
        <v>0.16216216216216217</v>
      </c>
      <c r="F17" s="456">
        <f>IF(ISNUMBER((Datos!M17-Datos!W17)/Datos!W17),(Datos!M17-Datos!W17)/Datos!W17," - ")</f>
        <v>0</v>
      </c>
      <c r="G17" s="457">
        <f>IF(ISNUMBER((Datos!N17-Datos!X17)/Datos!X17),(Datos!N17-Datos!X17)/Datos!X17," - ")</f>
        <v>-0.14285714285714285</v>
      </c>
      <c r="H17" s="455">
        <f>IF(ISNUMBER(((NºAsuntos!G17/NºAsuntos!E17)-Datos!BD17)/Datos!BD17),((NºAsuntos!G17/NºAsuntos!E17)-Datos!BD17)/Datos!BD17," - ")</f>
        <v>-0.16069142125480151</v>
      </c>
      <c r="I17" s="456">
        <f>IF(ISNUMBER(((NºAsuntos!I17/NºAsuntos!G17)-Datos!BE17)/Datos!BE17),((NºAsuntos!I17/NºAsuntos!G17)-Datos!BE17)/Datos!BE17," - ")</f>
        <v>0.34566145092460898</v>
      </c>
      <c r="J17" s="461">
        <f>IF(ISNUMBER((('Resol  Asuntos'!D17/NºAsuntos!G17)-Datos!BF17)/Datos!BF17),(('Resol  Asuntos'!D17/NºAsuntos!G17)-Datos!BF17)/Datos!BF17," - ")</f>
        <v>0.15789473684210517</v>
      </c>
      <c r="K17" s="462">
        <f>IF(ISNUMBER((((NºAsuntos!C17+NºAsuntos!E17)/NºAsuntos!G17)-Datos!BG17)/Datos!BG17),(((NºAsuntos!C17+NºAsuntos!E17)/NºAsuntos!G17)-Datos!BG17)/Datos!BG17," - ")</f>
        <v>0.12416964741951965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-0.28526645768025077</v>
      </c>
      <c r="C18" s="855">
        <f>IF(ISNUMBER(
   IF(Criterios!B14="SI",(Datos!J18-Datos!T18)/Datos!T18,(Datos!J18+Datos!AD18-(Datos!T18+Datos!AL18))/(Datos!T18+Datos!AL18))
     ),IF(Criterios!B14="SI",(Datos!J18-Datos!T18)/Datos!T18,(Datos!J18+Datos!AD18-(Datos!T18+Datos!AL18))/(Datos!T18+Datos!AL18))," - ")</f>
        <v>0.24640000000000001</v>
      </c>
      <c r="D18" s="855">
        <f>IF(ISNUMBER(
   IF(Criterios!B14="SI",(Datos!K18-Datos!U18)/Datos!U18,(Datos!K18+Datos!AE18-(Datos!U18+Datos!AM18))/(Datos!U18+Datos!AM18))
     ),IF(Criterios!B14="SI",(Datos!K18-Datos!U18)/Datos!U18,(Datos!K18+Datos!AE18-(Datos!U18+Datos!AM18))/(Datos!U18+Datos!AM18))," - ")</f>
        <v>-0.11888111888111888</v>
      </c>
      <c r="E18" s="855">
        <f>IF(ISNUMBER(
   IF(Criterios!B14="SI",(Datos!L18-Datos!V18)/Datos!V18,(Datos!L18+Datos!AF18-(Datos!V18+Datos!AN18))/(Datos!V18+Datos!AN18))
     ),IF(Criterios!B14="SI",(Datos!L18-Datos!V18)/Datos!V18,(Datos!L18+Datos!AF18-(Datos!V18+Datos!AN18))/(Datos!V18+Datos!AN18))," - ")</f>
        <v>-3.690888119953864E-2</v>
      </c>
      <c r="F18" s="856">
        <f>IF(ISNUMBER((Datos!M18-Datos!W18)/Datos!W18),(Datos!M18-Datos!W18)/Datos!W18," - ")</f>
        <v>9.0909090909090912E-2</v>
      </c>
      <c r="G18" s="857">
        <f>IF(ISNUMBER((Datos!N18-Datos!X18)/Datos!X18),(Datos!N18-Datos!X18)/Datos!X18," - ")</f>
        <v>0.10047846889952153</v>
      </c>
      <c r="H18" s="857">
        <f>IF(ISNUMBER(((NºAsuntos!G18/NºAsuntos!E18)-Datos!BD18)/Datos!BD18),((NºAsuntos!G18/NºAsuntos!E18)-Datos!BD18)/Datos!BD18," - ")</f>
        <v>-0.2930689336337603</v>
      </c>
      <c r="I18" s="857">
        <f>IF(ISNUMBER(((NºAsuntos!I18/NºAsuntos!G18)-Datos!BE18)/Datos!BE18),((NºAsuntos!I18/NºAsuntos!G18)-Datos!BE18)/Datos!BE18," - ")</f>
        <v>9.3031984035444243E-2</v>
      </c>
      <c r="J18" s="857">
        <f>IF(ISNUMBER((('Resol  Asuntos'!D18/NºAsuntos!G18)-Datos!BF18)/Datos!BF18),(('Resol  Asuntos'!D18/NºAsuntos!G18)-Datos!BF18)/Datos!BF18," - ")</f>
        <v>0.23809523809523814</v>
      </c>
      <c r="K18" s="857">
        <f>IF(ISNUMBER((((NºAsuntos!C18+NºAsuntos!E18)/NºAsuntos!G18)-Datos!BG18)/Datos!BG18),(((NºAsuntos!C18+NºAsuntos!E18)/NºAsuntos!G18)-Datos!BG18)/Datos!BG18," - ")</f>
        <v>4.9550498665542918E-2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5.3802008608321381E-3</v>
      </c>
      <c r="C19" s="802">
        <f>IF(ISNUMBER(
   IF(J_V="SI",(Datos!J19-Datos!T19)/Datos!T19,(Datos!J19+Datos!Z19-(Datos!T19+Datos!AH19))/(Datos!T19+Datos!AH19))
     ),IF(J_V="SI",(Datos!J19-Datos!T19)/Datos!T19,(Datos!J19+Datos!Z19-(Datos!T19+Datos!AH19))/(Datos!T19+Datos!AH19))," - ")</f>
        <v>0.19254119687771032</v>
      </c>
      <c r="D19" s="802">
        <f>IF(ISNUMBER(
   IF(J_V="SI",(Datos!K19-Datos!U19)/Datos!U19,(Datos!K19+Datos!AA19-(Datos!U19+Datos!AI19))/(Datos!U19+Datos!AI19))
     ),IF(J_V="SI",(Datos!K19-Datos!U19)/Datos!U19,(Datos!K19+Datos!AA19-(Datos!U19+Datos!AI19))/(Datos!U19+Datos!AI19))," - ")</f>
        <v>6.4690026954177901E-2</v>
      </c>
      <c r="E19" s="802">
        <f>IF(ISNUMBER(
   IF(J_V="SI",(Datos!L19-Datos!V19)/Datos!V19,(Datos!L19+Datos!AB19-(Datos!V19+Datos!AJ19))/(Datos!V19+Datos!AJ19))
     ),IF(J_V="SI",(Datos!L19-Datos!V19)/Datos!V19,(Datos!L19+Datos!AB19-(Datos!V19+Datos!AJ19))/(Datos!V19+Datos!AJ19))," - ")</f>
        <v>9.8679383712399121E-2</v>
      </c>
      <c r="F19" s="803">
        <f>IF(ISNUMBER((Datos!M19-Datos!W19)/Datos!W19),(Datos!M19-Datos!W19)/Datos!W19," - ")</f>
        <v>0.38532110091743121</v>
      </c>
      <c r="G19" s="804">
        <f>IF(ISNUMBER((Datos!N19-Datos!X19)/Datos!X19),(Datos!N19-Datos!X19)/Datos!X19," - ")</f>
        <v>0.19873817034700317</v>
      </c>
      <c r="H19" s="805">
        <f>IF(ISNUMBER((Tasas!B19-Datos!BD19)/Datos!BD19),(Tasas!B19-Datos!BD19)/Datos!BD19," - ")</f>
        <v>-0.10720901739769662</v>
      </c>
      <c r="I19" s="806">
        <f>IF(ISNUMBER((Tasas!C19-Datos!BE19)/Datos!BE19),(Tasas!C19-Datos!BE19)/Datos!BE19," - ")</f>
        <v>3.1924180651392658E-2</v>
      </c>
      <c r="J19" s="807">
        <f>IF(ISNUMBER((Tasas!D19-Datos!BF19)/Datos!BF19),(Tasas!D19-Datos!BF19)/Datos!BF19," - ")</f>
        <v>-0.45451801363193767</v>
      </c>
      <c r="K19" s="807">
        <f>IF(ISNUMBER((Tasas!E19-Datos!BG19)/Datos!BG19),(Tasas!E19-Datos!BG19)/Datos!BG19," - ")</f>
        <v>-4.2763675607617535E-3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wPotbTe7XEdY/ciIYonx2WQscDA0e0+LNvlVjg/EWJG606pv/Rfrs8GneEwt1OmsJDLtW8k/QdeCeRamnyDgg==" saltValue="nDbnK4nOcQa6KcBlgapv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VILLENA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2.3333333333333335</v>
      </c>
      <c r="C10" s="443">
        <f>IF(ISNUMBER(NºAsuntos!I10/NºAsuntos!G10),NºAsuntos!I10/NºAsuntos!G10," - ")</f>
        <v>2.4285714285714284</v>
      </c>
      <c r="D10" s="444">
        <f>IF(ISNUMBER('Resol  Asuntos'!D10/NºAsuntos!G10),'Resol  Asuntos'!D10/NºAsuntos!G10," - ")</f>
        <v>0.42857142857142855</v>
      </c>
      <c r="E10" s="445">
        <f>IF(ISNUMBER((NºAsuntos!C10+NºAsuntos!E10)/NºAsuntos!G10),(NºAsuntos!C10+NºAsuntos!E10)/NºAsuntos!G10," - ")</f>
        <v>3.4285714285714284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0.92411467116357504</v>
      </c>
      <c r="C12" s="443">
        <f>IF(ISNUMBER(NºAsuntos!I12/NºAsuntos!G12),NºAsuntos!I12/NºAsuntos!G12," - ")</f>
        <v>3.9105839416058394</v>
      </c>
      <c r="D12" s="444">
        <f>IF(ISNUMBER('Resol  Asuntos'!D12/NºAsuntos!G12),'Resol  Asuntos'!D12/NºAsuntos!G12," - ")</f>
        <v>0.18248175182481752</v>
      </c>
      <c r="E12" s="445">
        <f>IF(ISNUMBER((NºAsuntos!C12+NºAsuntos!E12)/NºAsuntos!G12),(NºAsuntos!C12+NºAsuntos!E12)/NºAsuntos!G12," - ")</f>
        <v>4.9105839416058394</v>
      </c>
      <c r="G12" s="463"/>
    </row>
    <row r="13" spans="1:7" ht="14.25" thickTop="1" thickBot="1">
      <c r="A13" s="848" t="str">
        <f>Datos!A13</f>
        <v>TOTAL</v>
      </c>
      <c r="B13" s="858">
        <f>IF(ISNUMBER(NºAsuntos!G13/NºAsuntos!E13),NºAsuntos!G13/NºAsuntos!E13," - ")</f>
        <v>0.93120805369127513</v>
      </c>
      <c r="C13" s="859">
        <f>IF(ISNUMBER(NºAsuntos!I13/NºAsuntos!G13),NºAsuntos!I13/NºAsuntos!G13," - ")</f>
        <v>3.8918918918918921</v>
      </c>
      <c r="D13" s="860">
        <f>IF(ISNUMBER('Resol  Asuntos'!D13/NºAsuntos!G13),'Resol  Asuntos'!D13/NºAsuntos!G13," - ")</f>
        <v>0.18558558558558558</v>
      </c>
      <c r="E13" s="861">
        <f>IF(ISNUMBER((NºAsuntos!C13+NºAsuntos!E13)/NºAsuntos!G13),(NºAsuntos!C13+NºAsuntos!E13)/NºAsuntos!G13," - ")</f>
        <v>4.8918918918918921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0.80932203389830504</v>
      </c>
      <c r="C16" s="443">
        <f>IF(ISNUMBER(NºAsuntos!I16/NºAsuntos!G16),NºAsuntos!I16/NºAsuntos!G16," - ")</f>
        <v>1.3821989528795811</v>
      </c>
      <c r="D16" s="444">
        <f>IF(ISNUMBER('Resol  Asuntos'!D16/NºAsuntos!G16),'Resol  Asuntos'!D16/NºAsuntos!G16," - ")</f>
        <v>7.5043630017452012E-2</v>
      </c>
      <c r="E16" s="445">
        <f>IF(ISNUMBER((NºAsuntos!C16+NºAsuntos!E16)/NºAsuntos!G16),(NºAsuntos!C16+NºAsuntos!E16)/NºAsuntos!G16," - ")</f>
        <v>2.3787085514834208</v>
      </c>
      <c r="G16" s="463"/>
    </row>
    <row r="17" spans="1:7" ht="13.5" thickBot="1">
      <c r="A17" s="402" t="str">
        <f>Datos!A17</f>
        <v>Jdos. Violencia contra la mujer</v>
      </c>
      <c r="B17" s="442">
        <f>IF(ISNUMBER(NºAsuntos!G17/NºAsuntos!E17),NºAsuntos!G17/NºAsuntos!E17," - ")</f>
        <v>0.80281690140845074</v>
      </c>
      <c r="C17" s="443">
        <f>IF(ISNUMBER(NºAsuntos!I17/NºAsuntos!G17),NºAsuntos!I17/NºAsuntos!G17," - ")</f>
        <v>0.75438596491228072</v>
      </c>
      <c r="D17" s="444">
        <f>IF(ISNUMBER('Resol  Asuntos'!D17/NºAsuntos!G17),'Resol  Asuntos'!D17/NºAsuntos!G17," - ")</f>
        <v>8.771929824561403E-2</v>
      </c>
      <c r="E17" s="445">
        <f>IF(ISNUMBER((NºAsuntos!C17+NºAsuntos!E17)/NºAsuntos!G17),(NºAsuntos!C17+NºAsuntos!E17)/NºAsuntos!G17," - ")</f>
        <v>1.7543859649122806</v>
      </c>
      <c r="G17" s="463"/>
    </row>
    <row r="18" spans="1:7" ht="14.25" thickTop="1" thickBot="1">
      <c r="A18" s="848" t="str">
        <f>Datos!A18</f>
        <v>TOTAL</v>
      </c>
      <c r="B18" s="858">
        <f>IF(ISNUMBER(NºAsuntos!G18/NºAsuntos!E18),NºAsuntos!G18/NºAsuntos!E18," - ")</f>
        <v>0.80872913992297812</v>
      </c>
      <c r="C18" s="859">
        <f>IF(ISNUMBER(NºAsuntos!I18/NºAsuntos!G18),NºAsuntos!I18/NºAsuntos!G18," - ")</f>
        <v>1.3253968253968254</v>
      </c>
      <c r="D18" s="862">
        <f>IF(ISNUMBER('Resol  Asuntos'!D18/NºAsuntos!G18),'Resol  Asuntos'!D18/NºAsuntos!G18," - ")</f>
        <v>7.6190476190476197E-2</v>
      </c>
      <c r="E18" s="861">
        <f>IF(ISNUMBER((NºAsuntos!C18+NºAsuntos!E18)/NºAsuntos!G18),(NºAsuntos!C18+NºAsuntos!E18)/NºAsuntos!G18," - ")</f>
        <v>2.3222222222222224</v>
      </c>
      <c r="G18" s="463"/>
    </row>
    <row r="19" spans="1:7" ht="15.75" customHeight="1" thickTop="1" thickBot="1">
      <c r="A19" s="793" t="str">
        <f>Datos!A19</f>
        <v>TOTAL JURISDICCIONES</v>
      </c>
      <c r="B19" s="808">
        <f>IF(ISNUMBER(NºAsuntos!G19/NºAsuntos!E19),NºAsuntos!G19/NºAsuntos!E19," - ")</f>
        <v>0.86181818181818182</v>
      </c>
      <c r="C19" s="809">
        <f>IF(ISNUMBER(NºAsuntos!I19/NºAsuntos!G19),NºAsuntos!I19/NºAsuntos!G19," - ")</f>
        <v>2.5274261603375527</v>
      </c>
      <c r="D19" s="810">
        <f>IF(ISNUMBER('Resol  Asuntos'!D19/NºAsuntos!G19),'Resol  Asuntos'!D19/NºAsuntos!G19," - ")</f>
        <v>0.12742616033755275</v>
      </c>
      <c r="E19" s="811">
        <f>IF(ISNUMBER((NºAsuntos!C19+NºAsuntos!E19)/NºAsuntos!G19),(NºAsuntos!C19+NºAsuntos!E19)/NºAsuntos!G19," - ")</f>
        <v>3.5257383966244724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oBVCO5hRYxTgNLnxswjhsIUxZmxZ+oCwcGp/3//jItKHc2YgTTznZ1dB70eE/mqZcWaIiCGmyObUc0CwD4zMg==" saltValue="2QFb034wGKFYOpOETEPd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17</v>
      </c>
      <c r="AB10" s="334">
        <f>IF(ISNUMBER(Datos!R10),Datos!R10," - ")</f>
        <v>34</v>
      </c>
      <c r="AC10" s="334">
        <f t="shared" ref="AC10:AC12" si="1">IF(ISNUMBER(AA10+AB10),AA10+AB10," - ")</f>
        <v>51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2.3333333333333335</v>
      </c>
      <c r="AM10" s="260">
        <f>IF(ISNUMBER(((NºAsuntos!I10/NºAsuntos!G10)*11)/factor_trimestre),((NºAsuntos!I10/NºAsuntos!G10)*11)/factor_trimestre," - ")</f>
        <v>4.8571428571428568</v>
      </c>
      <c r="AN10" s="244">
        <f>IF(ISNUMBER('Resol  Asuntos'!D10/NºAsuntos!G10),'Resol  Asuntos'!D10/NºAsuntos!G10," - ")</f>
        <v>0.42857142857142855</v>
      </c>
      <c r="AO10" s="245">
        <f>IF(ISNUMBER((NºAsuntos!C10+NºAsuntos!E10)/NºAsuntos!G10),(NºAsuntos!C10+NºAsuntos!E10)/NºAsuntos!G10," - ")</f>
        <v>3.4285714285714284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100</v>
      </c>
      <c r="AJ12" s="229" t="str">
        <f>IF(ISNUMBER(Datos!BW12),Datos!BW12," - ")</f>
        <v xml:space="preserve"> - </v>
      </c>
      <c r="AK12" s="228" t="str">
        <f>IF(ISNUMBER(Datos!BX12),Datos!BX12," - ")</f>
        <v xml:space="preserve"> - </v>
      </c>
      <c r="AL12" s="243">
        <f>IF(ISNUMBER(NºAsuntos!G12/NºAsuntos!E12),NºAsuntos!G12/NºAsuntos!E12," - ")</f>
        <v>0.92411467116357504</v>
      </c>
      <c r="AM12" s="260">
        <f>IF(ISNUMBER(((NºAsuntos!I12/NºAsuntos!G12)*11)/factor_trimestre),((NºAsuntos!I12/NºAsuntos!G12)*11)/factor_trimestre," - ")</f>
        <v>7.8211678832116798</v>
      </c>
      <c r="AN12" s="244">
        <f>IF(ISNUMBER('Resol  Asuntos'!D12/NºAsuntos!G12),'Resol  Asuntos'!D12/NºAsuntos!G12," - ")</f>
        <v>0.18248175182481752</v>
      </c>
      <c r="AO12" s="245">
        <f>IF(ISNUMBER((NºAsuntos!C12+NºAsuntos!E12)/NºAsuntos!G12),(NºAsuntos!C12+NºAsuntos!E12)/NºAsuntos!G12," - ")</f>
        <v>4.9105839416058394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21</v>
      </c>
      <c r="G13" s="866">
        <f t="shared" si="3"/>
        <v>21</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40</v>
      </c>
      <c r="Y13" s="868">
        <f t="shared" si="4"/>
        <v>47</v>
      </c>
      <c r="Z13" s="868">
        <f t="shared" si="4"/>
        <v>0</v>
      </c>
      <c r="AA13" s="868">
        <f t="shared" si="4"/>
        <v>17</v>
      </c>
      <c r="AB13" s="868">
        <f t="shared" si="4"/>
        <v>2871</v>
      </c>
      <c r="AC13" s="868">
        <f t="shared" si="4"/>
        <v>51</v>
      </c>
      <c r="AD13" s="868">
        <f t="shared" si="4"/>
        <v>0</v>
      </c>
      <c r="AE13" s="872">
        <f t="shared" si="4"/>
        <v>0</v>
      </c>
      <c r="AF13" s="865">
        <f t="shared" si="4"/>
        <v>0</v>
      </c>
      <c r="AG13" s="873">
        <f t="shared" si="4"/>
        <v>0</v>
      </c>
      <c r="AH13" s="870">
        <f t="shared" si="4"/>
        <v>0</v>
      </c>
      <c r="AI13" s="865">
        <f t="shared" si="4"/>
        <v>103</v>
      </c>
      <c r="AJ13" s="867">
        <f t="shared" si="4"/>
        <v>0</v>
      </c>
      <c r="AK13" s="870">
        <f>SUBTOTAL(9,AK9:AK12)</f>
        <v>0</v>
      </c>
      <c r="AL13" s="874">
        <f>IF(ISNUMBER(NºAsuntos!G13/NºAsuntos!E13),NºAsuntos!G13/NºAsuntos!E13," - ")</f>
        <v>0.93120805369127513</v>
      </c>
      <c r="AM13" s="874">
        <f>IF(ISNUMBER(((NºAsuntos!I13/NºAsuntos!G13)*11)/factor_trimestre),((NºAsuntos!I13/NºAsuntos!G13)*11)/factor_trimestre," - ")</f>
        <v>7.7837837837837842</v>
      </c>
      <c r="AN13" s="875">
        <f>IF(ISNUMBER('Resol  Asuntos'!D13/NºAsuntos!G13),'Resol  Asuntos'!D13/NºAsuntos!G13," - ")</f>
        <v>0.18558558558558558</v>
      </c>
      <c r="AO13" s="876">
        <f>IF(ISNUMBER((NºAsuntos!C13+NºAsuntos!E13)/NºAsuntos!G13),(NºAsuntos!C13+NºAsuntos!E13)/NºAsuntos!G13," - ")</f>
        <v>4.8918918918918921</v>
      </c>
      <c r="AP13" s="877" t="str">
        <f t="shared" si="2"/>
        <v xml:space="preserve"> - </v>
      </c>
      <c r="AQ13" s="877">
        <f>IF(ISNUMBER((H13-W13+K13)/(F13)),(H13-W13+K13)/(F13)," - ")</f>
        <v>-0.33333333333333331</v>
      </c>
      <c r="AR13" s="878">
        <f>IF(ISNUMBER((Datos!P13-Datos!Q13)/(Datos!R13-Datos!P13+Datos!Q13)),(Datos!P13-Datos!Q13)/(Datos!R13-Datos!P13+Datos!Q13)," - ")</f>
        <v>2.1708185053380784E-2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657</v>
      </c>
      <c r="G16" s="333">
        <f>IF(ISNUMBER(IF(D_I="SI",Datos!I16,Datos!I16+Datos!AC16)),IF(D_I="SI",Datos!I16,Datos!I16+Datos!AC16)," - ")</f>
        <v>655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573</v>
      </c>
      <c r="X16" s="226">
        <f>IF(ISNUMBER(Datos!Q16),Datos!Q16," - ")</f>
        <v>36</v>
      </c>
      <c r="Y16" s="334">
        <f t="shared" ref="Y16:Y17" si="7">SUM(W16:X16)</f>
        <v>609</v>
      </c>
      <c r="Z16" s="335" t="str">
        <f>IF(ISNUMBER(Datos!CC16),Datos!CC16," - ")</f>
        <v xml:space="preserve"> - </v>
      </c>
      <c r="AA16" s="332">
        <f>IF(ISNUMBER(IF(D_I="SI",Datos!L16,Datos!L16+Datos!AF16)),IF(D_I="SI",Datos!L16,Datos!L16+Datos!AF16)," - ")</f>
        <v>792</v>
      </c>
      <c r="AB16" s="334">
        <f>IF(ISNUMBER(Datos!R16),Datos!R16," - ")</f>
        <v>91</v>
      </c>
      <c r="AC16" s="334">
        <f t="shared" si="6"/>
        <v>883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0.80932203389830504</v>
      </c>
      <c r="AM16" s="260">
        <f>IF(ISNUMBER(((NºAsuntos!I16/NºAsuntos!G16)*11)/factor_trimestre),((NºAsuntos!I16/NºAsuntos!G16)*11)/factor_trimestre," - ")</f>
        <v>2.7643979057591621</v>
      </c>
      <c r="AN16" s="244">
        <f>IF(ISNUMBER('Resol  Asuntos'!D16/NºAsuntos!G16),'Resol  Asuntos'!D16/NºAsuntos!G16," - ")</f>
        <v>7.5043630017452012E-2</v>
      </c>
      <c r="AO16" s="245">
        <f>IF(ISNUMBER((NºAsuntos!C16+NºAsuntos!E16)/NºAsuntos!G16),(NºAsuntos!C16+NºAsuntos!E16)/NºAsuntos!G16," - ")</f>
        <v>2.3787085514834208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43</v>
      </c>
      <c r="AB17" s="334">
        <f>IF(ISNUMBER(Datos!R17),Datos!R17," - ")</f>
        <v>0</v>
      </c>
      <c r="AC17" s="334">
        <f t="shared" si="6"/>
        <v>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0.80281690140845074</v>
      </c>
      <c r="AM17" s="260">
        <f>IF(ISNUMBER(((NºAsuntos!I17/NºAsuntos!G17)*11)/factor_trimestre),((NºAsuntos!I17/NºAsuntos!G17)*11)/factor_trimestre," - ")</f>
        <v>1.5087719298245614</v>
      </c>
      <c r="AN17" s="244">
        <f>IF(ISNUMBER('Resol  Asuntos'!D17/NºAsuntos!G17),'Resol  Asuntos'!D17/NºAsuntos!G17," - ")</f>
        <v>8.771929824561403E-2</v>
      </c>
      <c r="AO17" s="245">
        <f>IF(ISNUMBER((NºAsuntos!C17+NºAsuntos!E17)/NºAsuntos!G17),(NºAsuntos!C17+NºAsuntos!E17)/NºAsuntos!G17," - ")</f>
        <v>1.7543859649122806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657</v>
      </c>
      <c r="G18" s="866">
        <f>SUBTOTAL(9,G15:G17)</f>
        <v>684</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630</v>
      </c>
      <c r="X18" s="867">
        <f t="shared" si="11"/>
        <v>36</v>
      </c>
      <c r="Y18" s="868">
        <f t="shared" si="11"/>
        <v>666</v>
      </c>
      <c r="Z18" s="868">
        <f t="shared" si="11"/>
        <v>0</v>
      </c>
      <c r="AA18" s="868">
        <f t="shared" si="11"/>
        <v>835</v>
      </c>
      <c r="AB18" s="868">
        <f t="shared" si="11"/>
        <v>91</v>
      </c>
      <c r="AC18" s="868">
        <f t="shared" si="11"/>
        <v>926</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0.80872913992297812</v>
      </c>
      <c r="AM18" s="874">
        <f>IF(ISNUMBER(((NºAsuntos!I18/NºAsuntos!G18)*11)/factor_trimestre),((NºAsuntos!I18/NºAsuntos!G18)*11)/factor_trimestre," - ")</f>
        <v>2.6507936507936507</v>
      </c>
      <c r="AN18" s="875">
        <f>IF(ISNUMBER('Resol  Asuntos'!D18/NºAsuntos!G18),'Resol  Asuntos'!D18/NºAsuntos!G18," - ")</f>
        <v>7.6190476190476197E-2</v>
      </c>
      <c r="AO18" s="876">
        <f>IF(ISNUMBER((NºAsuntos!C18+NºAsuntos!E18)/NºAsuntos!G18),(NºAsuntos!C18+NºAsuntos!E18)/NºAsuntos!G18," - ")</f>
        <v>2.3222222222222224</v>
      </c>
      <c r="AP18" s="877" t="str">
        <f t="shared" si="2"/>
        <v xml:space="preserve"> - </v>
      </c>
      <c r="AQ18" s="877">
        <f>IF(ISNUMBER((H18-W18+K18)/(F18)),(H18-W18+K18)/(F18)," - ")</f>
        <v>-0.95890410958904104</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678</v>
      </c>
      <c r="G19" s="821">
        <f t="shared" si="13"/>
        <v>705</v>
      </c>
      <c r="H19" s="820">
        <f t="shared" si="13"/>
        <v>0</v>
      </c>
      <c r="I19" s="822">
        <f t="shared" si="13"/>
        <v>0</v>
      </c>
      <c r="J19" s="822">
        <f t="shared" si="13"/>
        <v>0</v>
      </c>
      <c r="K19" s="881">
        <f t="shared" si="13"/>
        <v>0</v>
      </c>
      <c r="L19" s="822">
        <f t="shared" si="13"/>
        <v>130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637</v>
      </c>
      <c r="X19" s="821">
        <f t="shared" si="14"/>
        <v>76</v>
      </c>
      <c r="Y19" s="828">
        <f t="shared" si="14"/>
        <v>713</v>
      </c>
      <c r="Z19" s="828">
        <f t="shared" si="14"/>
        <v>0</v>
      </c>
      <c r="AA19" s="828">
        <f t="shared" si="14"/>
        <v>852</v>
      </c>
      <c r="AB19" s="828">
        <f t="shared" si="14"/>
        <v>2962</v>
      </c>
      <c r="AC19" s="828">
        <f t="shared" si="14"/>
        <v>977</v>
      </c>
      <c r="AD19" s="828">
        <f t="shared" si="14"/>
        <v>0</v>
      </c>
      <c r="AE19" s="830">
        <f t="shared" si="14"/>
        <v>0</v>
      </c>
      <c r="AF19" s="831">
        <f t="shared" si="14"/>
        <v>0</v>
      </c>
      <c r="AG19" s="832">
        <f t="shared" si="14"/>
        <v>0</v>
      </c>
      <c r="AH19" s="830">
        <f t="shared" si="14"/>
        <v>0</v>
      </c>
      <c r="AI19" s="820">
        <f t="shared" si="14"/>
        <v>151</v>
      </c>
      <c r="AJ19" s="820">
        <f t="shared" si="14"/>
        <v>0</v>
      </c>
      <c r="AK19" s="830">
        <f t="shared" si="14"/>
        <v>0</v>
      </c>
      <c r="AL19" s="884">
        <f>IF(ISNUMBER(NºAsuntos!G19/NºAsuntos!E19),NºAsuntos!G19/NºAsuntos!E19," - ")</f>
        <v>0.86181818181818182</v>
      </c>
      <c r="AM19" s="885">
        <f>IF(ISNUMBER(((NºAsuntos!I19/NºAsuntos!G19)*11)/factor_trimestre),((NºAsuntos!I19/NºAsuntos!G19)*11)/factor_trimestre," - ")</f>
        <v>5.0548523206751055</v>
      </c>
      <c r="AN19" s="885">
        <f>IF(ISNUMBER('Resol  Asuntos'!D19/NºAsuntos!G19),'Resol  Asuntos'!D19/NºAsuntos!G19," - ")</f>
        <v>0.12742616033755275</v>
      </c>
      <c r="AO19" s="886">
        <f>IF(ISNUMBER((NºAsuntos!C19+NºAsuntos!E19)/NºAsuntos!G19),(NºAsuntos!C19+NºAsuntos!E19)/NºAsuntos!G19," - ")</f>
        <v>3.5257383966244724</v>
      </c>
      <c r="AP19" s="887" t="str">
        <f t="shared" si="2"/>
        <v xml:space="preserve"> - </v>
      </c>
      <c r="AQ19" s="888">
        <f>IF(OR(ISNUMBER(FIND("01",Criterios!A8,1)),ISNUMBER(FIND("02",Criterios!A8,1)),ISNUMBER(FIND("03",Criterios!A8,1)),ISNUMBER(FIND("04",Criterios!A8,1))),(I19-W19+K19)/(F19-K19),(H19-W19+K19)/(F19-K19))</f>
        <v>-0.93952802359882004</v>
      </c>
      <c r="AR19" s="889">
        <f>IF(ISNUMBER((Datos!P19-Datos!Q19)/(Datos!R19-Datos!P19+Datos!Q19)),(Datos!P19-Datos!Q19)/(Datos!R19-Datos!P19+Datos!Q19)," - ")</f>
        <v>1.8569463548830812E-2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367.19477120460198</v>
      </c>
      <c r="G21" s="253">
        <f>IF(ISNUMBER(STDEV(G8:G18)),STDEV(G8:G18),"-")</f>
        <v>353.90111613274127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317.78955300638819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43.807153144967856</v>
      </c>
      <c r="AJ21" s="252">
        <f t="shared" si="18"/>
        <v>0</v>
      </c>
      <c r="AK21" s="254">
        <f t="shared" si="18"/>
        <v>0</v>
      </c>
      <c r="AL21" s="249">
        <f t="shared" si="18"/>
        <v>0.60632871463571103</v>
      </c>
      <c r="AM21" s="250">
        <f t="shared" si="18"/>
        <v>2.7311326242261744</v>
      </c>
      <c r="AN21" s="250">
        <f t="shared" si="18"/>
        <v>0.13550234080817697</v>
      </c>
      <c r="AO21" s="251">
        <f t="shared" si="18"/>
        <v>1.3664720203431873</v>
      </c>
      <c r="AP21" s="291" t="str">
        <f t="shared" si="18"/>
        <v>-</v>
      </c>
      <c r="AQ21" s="292">
        <f t="shared" si="18"/>
        <v>0.44234533800254322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o0O7wkSs5UOr68w7cyt54+4lO7UqMYFITNtde1P0oQ7nnqG2aS3mFZsp1G6zNJcXt/95/4oy157jNLWkta+J1Q==" saltValue="vLk0DSdc21zIcsMlb4Xo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VILLENA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-0.19230769230769232</v>
      </c>
      <c r="E10" s="348">
        <f>IF(ISNUMBER((Datos!J10-Datos!T10)/Datos!T10),(Datos!J10-Datos!T10)/Datos!T10," - ")</f>
        <v>0.5</v>
      </c>
      <c r="F10" s="348" t="str">
        <f>IF(ISNUMBER((Datos!K10-Datos!U10)/Datos!U10),(Datos!K10-Datos!U10)/Datos!U10," - ")</f>
        <v xml:space="preserve"> - </v>
      </c>
      <c r="G10" s="349">
        <f>IF(ISNUMBER((Datos!L10-Datos!V10)/Datos!V10),(Datos!L10-Datos!V10)/Datos!V10," - ")</f>
        <v>-0.2608695652173913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0.53846153846153844</v>
      </c>
      <c r="I12" s="350">
        <f>IF(ISNUMBER((Tasas!C12-Datos!BE12)/Datos!BE12),(Tasas!C12-Datos!BE12)/Datos!BE12," - ")</f>
        <v>-0.15228082311594543</v>
      </c>
      <c r="J12" s="349">
        <f>IF(ISNUMBER((Tasas!D12-Datos!BF12)/Datos!BF12),(Tasas!D12-Datos!BF12)/Datos!BF12," - ")</f>
        <v>-0.66376047580427144</v>
      </c>
      <c r="K12" s="351">
        <f>IF(ISNUMBER((Tasas!E12-Datos!BG12)/Datos!BG12),(Tasas!E12-Datos!BG12)/Datos!BG12," - ")</f>
        <v>-0.16155623819857395</v>
      </c>
      <c r="M12" t="e">
        <f>IF(Monitorios="SI",Datos!CE12,0)</f>
        <v>#REF!</v>
      </c>
      <c r="N12" t="e">
        <f>IF(Monitorios="SI",Datos!CF12,0)</f>
        <v>#REF!</v>
      </c>
      <c r="O12" t="e">
        <f>IF(Monitorios="SI",Datos!CG12,0)</f>
        <v>#REF!</v>
      </c>
      <c r="P12" t="e">
        <f>IF(Monitorios="SI",Datos!CH12,0)</f>
        <v>#REF!</v>
      </c>
      <c r="Q12">
        <f>IF(J_V="SI",0,Datos!AG12)</f>
        <v>18</v>
      </c>
      <c r="R12">
        <f>IF(J_V="SI",0,Datos!AH12)</f>
        <v>34</v>
      </c>
      <c r="S12">
        <f>IF(J_V="SI",0,Datos!AI12)</f>
        <v>33</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0.58461538461538465</v>
      </c>
      <c r="I13" s="357">
        <f>IF(ISNUMBER((Tasas!C13-Datos!BE13)/Datos!BE13),(Tasas!C13-Datos!BE13)/Datos!BE13," - ")</f>
        <v>-0.16677085907855127</v>
      </c>
      <c r="J13" s="355">
        <f>IF(ISNUMBER((Tasas!D13-Datos!BF13)/Datos!BF13),(Tasas!D13-Datos!BF13)/Datos!BF13," - ")</f>
        <v>-0.65804137470804136</v>
      </c>
      <c r="K13" s="358">
        <f>IF(ISNUMBER((Tasas!E13-Datos!BG13)/Datos!BG13),(Tasas!E13-Datos!BG13)/Datos!BG13," - ")</f>
        <v>-0.17466173252523404</v>
      </c>
      <c r="M13" t="e">
        <f>IF(Monitorios="SI",Datos!CE13,0)</f>
        <v>#REF!</v>
      </c>
      <c r="N13" t="e">
        <f>IF(Monitorios="SI",Datos!CF13,0)</f>
        <v>#REF!</v>
      </c>
      <c r="O13" t="e">
        <f>IF(Monitorios="SI",Datos!CG13,0)</f>
        <v>#REF!</v>
      </c>
      <c r="P13" t="e">
        <f>IF(Monitorios="SI",Datos!CH13,0)</f>
        <v>#REF!</v>
      </c>
      <c r="Q13">
        <f>IF(J_V="SI",0,Datos!AG13)</f>
        <v>18</v>
      </c>
      <c r="R13">
        <f>IF(J_V="SI",0,Datos!AH13)</f>
        <v>34</v>
      </c>
      <c r="S13">
        <f>IF(J_V="SI",0,Datos!AI13)</f>
        <v>33</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-0.29035752979414953</v>
      </c>
      <c r="E16" s="348">
        <f>IF(ISNUMBER(
   IF(D_I="SI",(Datos!J16-Datos!T16)/Datos!T16,(Datos!J16+Datos!AD16-(Datos!T16+Datos!AL16))/(Datos!T16+Datos!AL16))
     ),IF(D_I="SI",(Datos!J16-Datos!T16)/Datos!T16,(Datos!J16+Datos!AD16-(Datos!T16+Datos!AL16))/(Datos!T16+Datos!AL16))," - ")</f>
        <v>0.2733812949640288</v>
      </c>
      <c r="F16" s="348">
        <f>IF(ISNUMBER(
   IF(D_I="SI",(Datos!K16-Datos!U16)/Datos!U16,(Datos!K16+Datos!AE16-(Datos!U16+Datos!AM16))/(Datos!U16+Datos!AM16))
     ),IF(D_I="SI",(Datos!K16-Datos!U16)/Datos!U16,(Datos!K16+Datos!AE16-(Datos!U16+Datos!AM16))/(Datos!U16+Datos!AM16))," - ")</f>
        <v>-0.11710323574730354</v>
      </c>
      <c r="G16" s="349">
        <f>IF(ISNUMBER(
   IF(D_I="SI",(Datos!L16-Datos!V16)/Datos!V16,(Datos!L16+Datos!AF16-(Datos!V16+Datos!AN16))/(Datos!V16+Datos!AN16))
     ),IF(D_I="SI",(Datos!L16-Datos!V16)/Datos!V16,(Datos!L16+Datos!AF16-(Datos!V16+Datos!AN16))/(Datos!V16+Datos!AN16))," - ")</f>
        <v>-4.5783132530120479E-2</v>
      </c>
      <c r="H16" s="230">
        <f>IF(ISNUMBER((Datos!M16-Datos!W16)/Datos!W16),(Datos!M16-Datos!W16)/Datos!W16," - ")</f>
        <v>0.10256410256410256</v>
      </c>
      <c r="I16" s="350">
        <f>IF(ISNUMBER((Tasas!C16-Datos!BE16)/Datos!BE16),(Tasas!C16-Datos!BE16)/Datos!BE16," - ")</f>
        <v>8.0779663155238768E-2</v>
      </c>
      <c r="J16" s="349">
        <f>IF(ISNUMBER((Tasas!D16-Datos!BF16)/Datos!BF16),(Tasas!D16-Datos!BF16)/Datos!BF16," - ")</f>
        <v>0.24880297131606044</v>
      </c>
      <c r="K16" s="351">
        <f>IF(ISNUMBER((Tasas!E16-Datos!BG16)/Datos!BG16),(Tasas!E16-Datos!BG16)/Datos!BG16," - ")</f>
        <v>4.3801115559662027E-2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-0.14705882352941177</v>
      </c>
      <c r="E17" s="348">
        <f>IF(ISNUMBER(
   IF(D_I="SI",(Datos!J17-Datos!T17)/Datos!T17,(Datos!J17+Datos!AD17-(Datos!T17+Datos!AL17))/(Datos!T17+Datos!AL17))
     ),IF(D_I="SI",(Datos!J17-Datos!T17)/Datos!T17,(Datos!J17+Datos!AD17-(Datos!T17+Datos!AL17))/(Datos!T17+Datos!AL17))," - ")</f>
        <v>2.8985507246376812E-2</v>
      </c>
      <c r="F17" s="348">
        <f>IF(ISNUMBER(
   IF(D_I="SI",(Datos!K17-Datos!U17)/Datos!U17,(Datos!K17+Datos!AE17-(Datos!U17+Datos!AM17))/(Datos!U17+Datos!AM17))
     ),IF(D_I="SI",(Datos!K17-Datos!U17)/Datos!U17,(Datos!K17+Datos!AE17-(Datos!U17+Datos!AM17))/(Datos!U17+Datos!AM17))," - ")</f>
        <v>-0.13636363636363635</v>
      </c>
      <c r="G17" s="349">
        <f>IF(ISNUMBER(
   IF(D_I="SI",(Datos!L17-Datos!V17)/Datos!V17,(Datos!L17+Datos!AF17-(Datos!V17+Datos!AN17))/(Datos!V17+Datos!AN17))
     ),IF(D_I="SI",(Datos!L17-Datos!V17)/Datos!V17,(Datos!L17+Datos!AF17-(Datos!V17+Datos!AN17))/(Datos!V17+Datos!AN17))," - ")</f>
        <v>0.16216216216216217</v>
      </c>
      <c r="H17" s="230">
        <f>IF(ISNUMBER((Datos!M17-Datos!W17)/Datos!W17),(Datos!M17-Datos!W17)/Datos!W17," - ")</f>
        <v>0</v>
      </c>
      <c r="I17" s="350">
        <f>IF(ISNUMBER((Tasas!C17-Datos!BE17)/Datos!BE17),(Tasas!C17-Datos!BE17)/Datos!BE17," - ")</f>
        <v>0.34566145092460898</v>
      </c>
      <c r="J17" s="349">
        <f>IF(ISNUMBER((Tasas!D17-Datos!BF17)/Datos!BF17),(Tasas!D17-Datos!BF17)/Datos!BF17," - ")</f>
        <v>0.15789473684210517</v>
      </c>
      <c r="K17" s="351">
        <f>IF(ISNUMBER((Tasas!E17-Datos!BG17)/Datos!BG17),(Tasas!E17-Datos!BG17)/Datos!BG17," - ")</f>
        <v>0.12416964741951965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-0.28526645768025077</v>
      </c>
      <c r="E18" s="354">
        <f>IF(ISNUMBER(
   IF(D_I="SI",(Datos!J18-Datos!T18)/Datos!T18,(Datos!J18+Datos!AD18-(Datos!T18+Datos!AL18))/(Datos!T18+Datos!AL18))
     ),IF(D_I="SI",(Datos!J18-Datos!T18)/Datos!T18,(Datos!J18+Datos!AD18-(Datos!T18+Datos!AL18))/(Datos!T18+Datos!AL18))," - ")</f>
        <v>0.24640000000000001</v>
      </c>
      <c r="F18" s="354">
        <f>IF(ISNUMBER(
   IF(D_I="SI",(Datos!K18-Datos!U18)/Datos!U18,(Datos!K18+Datos!AE18-(Datos!U18+Datos!AM18))/(Datos!U18+Datos!AM18))
     ),IF(D_I="SI",(Datos!K18-Datos!U18)/Datos!U18,(Datos!K18+Datos!AE18-(Datos!U18+Datos!AM18))/(Datos!U18+Datos!AM18))," - ")</f>
        <v>-0.11888111888111888</v>
      </c>
      <c r="G18" s="355">
        <f>IF(ISNUMBER(
   IF(D_I="SI",(Datos!L18-Datos!V18)/Datos!V18,(Datos!L18+Datos!AF18-(Datos!V18+Datos!AN18))/(Datos!V18+Datos!AN18))
     ),IF(D_I="SI",(Datos!L18-Datos!V18)/Datos!V18,(Datos!L18+Datos!AF18-(Datos!V18+Datos!AN18))/(Datos!V18+Datos!AN18))," - ")</f>
        <v>-3.690888119953864E-2</v>
      </c>
      <c r="H18" s="356">
        <f>IF(ISNUMBER((Datos!M18-Datos!W18)/Datos!W18),(Datos!M18-Datos!W18)/Datos!W18," - ")</f>
        <v>9.0909090909090912E-2</v>
      </c>
      <c r="I18" s="357">
        <f>IF(ISNUMBER((Tasas!C18-Datos!BE18)/Datos!BE18),(Tasas!C18-Datos!BE18)/Datos!BE18," - ")</f>
        <v>9.3031984035444243E-2</v>
      </c>
      <c r="J18" s="355">
        <f>IF(ISNUMBER((Tasas!D18-Datos!BF18)/Datos!BF18),(Tasas!D18-Datos!BF18)/Datos!BF18," - ")</f>
        <v>0.23809523809523814</v>
      </c>
      <c r="K18" s="358">
        <f>IF(ISNUMBER((Tasas!E18-Datos!BG18)/Datos!BG18),(Tasas!E18-Datos!BG18)/Datos!BG18," - ")</f>
        <v>4.9550498665542918E-2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5.3802008608321381E-3</v>
      </c>
      <c r="E19" s="363">
        <f>IF(ISNUMBER(
   IF(J_V="SI",(Datos!J19-Datos!T19)/Datos!T19,(Datos!J19+Datos!Z19-(Datos!T19+Datos!AH19))/(Datos!T19+Datos!AH19))
     ),IF(J_V="SI",(Datos!J19-Datos!T19)/Datos!T19,(Datos!J19+Datos!Z19-(Datos!T19+Datos!AH19))/(Datos!T19+Datos!AH19))," - ")</f>
        <v>0.19254119687771032</v>
      </c>
      <c r="F19" s="363">
        <f>IF(ISNUMBER(
   IF(J_V="SI",(Datos!K19-Datos!U19)/Datos!U19,(Datos!K19+Datos!AA19-(Datos!U19+Datos!AI19))/(Datos!U19+Datos!AI19))
     ),IF(J_V="SI",(Datos!K19-Datos!U19)/Datos!U19,(Datos!K19+Datos!AA19-(Datos!U19+Datos!AI19))/(Datos!U19+Datos!AI19))," - ")</f>
        <v>6.4690026954177901E-2</v>
      </c>
      <c r="G19" s="364">
        <f>IF(ISNUMBER(
   IF(J_V="SI",(Datos!L19-Datos!V19)/Datos!V19,(Datos!L19+Datos!AB19-(Datos!V19+Datos!AJ19))/(Datos!V19+Datos!AJ19))
     ),IF(J_V="SI",(Datos!L19-Datos!V19)/Datos!V19,(Datos!L19+Datos!AB19-(Datos!V19+Datos!AJ19))/(Datos!V19+Datos!AJ19))," - ")</f>
        <v>9.8679383712399121E-2</v>
      </c>
      <c r="H19" s="365">
        <f>IF(ISNUMBER((Datos!M19-Datos!W19)/Datos!W19),(Datos!M19-Datos!W19)/Datos!W19," - ")</f>
        <v>0.38532110091743121</v>
      </c>
      <c r="I19" s="362">
        <f>IF(ISNUMBER((Tasas!C19-Datos!BE19)/Datos!BE19),(Tasas!C19-Datos!BE19)/Datos!BE19," - ")</f>
        <v>3.1924180651392658E-2</v>
      </c>
      <c r="J19" s="363">
        <f>IF(ISNUMBER((Tasas!D19-Datos!BF19)/Datos!BF19),(Tasas!D19-Datos!BF19)/Datos!BF19," - ")</f>
        <v>-0.45451801363193767</v>
      </c>
      <c r="K19" s="364">
        <f>IF(ISNUMBER((Tasas!E19-Datos!BG19)/Datos!BG19),(Tasas!E19-Datos!BG19)/Datos!BG19," - ")</f>
        <v>-4.2763675607617535E-3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7.0689668732668853E-2</v>
      </c>
      <c r="E21" s="278">
        <f t="shared" si="1"/>
        <v>0.19262441928260202</v>
      </c>
      <c r="F21" s="278">
        <f t="shared" si="1"/>
        <v>1.0643952256764304E-2</v>
      </c>
      <c r="G21" s="279">
        <f t="shared" si="1"/>
        <v>0.17280183306031602</v>
      </c>
      <c r="H21" s="285">
        <f t="shared" si="1"/>
        <v>0.27560796087850625</v>
      </c>
      <c r="I21" s="277">
        <f t="shared" si="1"/>
        <v>0.2107310859976996</v>
      </c>
      <c r="J21" s="278">
        <f t="shared" si="1"/>
        <v>0.48100187568245467</v>
      </c>
      <c r="K21" s="279">
        <f t="shared" si="1"/>
        <v>0.13562931849614274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OUKmPPqmIcj5wyH6RIUdYkOqfdRW/ObWOnivV2UnuyDGp3qhxR3Dqc4K2QnLbWFfl7kRsQkzRQeQsmynqR+w==" saltValue="JLX7QxwO3RjpXsBqx7s6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